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zerocarbonshipping.sharepoint.com/sites/40032/Delte dokumenter/General/Phase II/2 Workstreams/MTM -- Newsletter/Modeling/MTM Impact Calculator/"/>
    </mc:Choice>
  </mc:AlternateContent>
  <xr:revisionPtr revIDLastSave="2089" documentId="8_{16DF5B16-2C16-4E3F-8408-0837E51FEDFA}" xr6:coauthVersionLast="47" xr6:coauthVersionMax="47" xr10:uidLastSave="{C5EAB2CF-837B-4F3E-A014-A407494813D4}"/>
  <bookViews>
    <workbookView xWindow="28680" yWindow="-5175" windowWidth="29040" windowHeight="15720" xr2:uid="{00000000-000D-0000-FFFF-FFFF00000000}"/>
  </bookViews>
  <sheets>
    <sheet name="CCC Summary" sheetId="13" r:id="rId1"/>
    <sheet name="Calculations" sheetId="14" r:id="rId2"/>
    <sheet name="Data" sheetId="15" r:id="rId3"/>
  </sheets>
  <externalReferences>
    <externalReference r:id="rId4"/>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3" l="1"/>
  <c r="D20" i="13"/>
  <c r="C23" i="13"/>
  <c r="D6" i="14"/>
  <c r="H6" i="14" s="1"/>
  <c r="D14" i="14"/>
  <c r="D63" i="13"/>
  <c r="D24" i="13"/>
  <c r="AB38" i="15"/>
  <c r="AA38" i="15"/>
  <c r="Z38" i="15"/>
  <c r="Y38" i="15"/>
  <c r="X38" i="15"/>
  <c r="W38" i="15"/>
  <c r="V38" i="15"/>
  <c r="U38" i="15"/>
  <c r="T38" i="15"/>
  <c r="S38" i="15"/>
  <c r="R38" i="15"/>
  <c r="Q38" i="15"/>
  <c r="P38" i="15"/>
  <c r="O38" i="15"/>
  <c r="N38" i="15"/>
  <c r="M38" i="15"/>
  <c r="L38" i="15"/>
  <c r="K38" i="15"/>
  <c r="J38" i="15"/>
  <c r="I38" i="15"/>
  <c r="H38" i="15"/>
  <c r="G38" i="15"/>
  <c r="F38" i="15"/>
  <c r="E38" i="15"/>
  <c r="AB34" i="15"/>
  <c r="AA34" i="15"/>
  <c r="Z34" i="15"/>
  <c r="Y34" i="15"/>
  <c r="X34" i="15"/>
  <c r="W34" i="15"/>
  <c r="V34" i="15"/>
  <c r="U34" i="15"/>
  <c r="T34" i="15"/>
  <c r="S34" i="15"/>
  <c r="R34" i="15"/>
  <c r="Q34" i="15"/>
  <c r="P34" i="15"/>
  <c r="O34" i="15"/>
  <c r="N34" i="15"/>
  <c r="M34" i="15"/>
  <c r="L34" i="15"/>
  <c r="K34" i="15"/>
  <c r="J34" i="15"/>
  <c r="I34" i="15"/>
  <c r="H34" i="15"/>
  <c r="G34" i="15"/>
  <c r="F34" i="15"/>
  <c r="E34" i="15"/>
  <c r="AB26" i="15"/>
  <c r="AA26" i="15"/>
  <c r="Z26" i="15"/>
  <c r="Y26" i="15"/>
  <c r="X26" i="15"/>
  <c r="W26" i="15"/>
  <c r="V26" i="15"/>
  <c r="U26" i="15"/>
  <c r="T26" i="15"/>
  <c r="S26" i="15"/>
  <c r="R26" i="15"/>
  <c r="Q26" i="15"/>
  <c r="P26" i="15"/>
  <c r="O26" i="15"/>
  <c r="N26" i="15"/>
  <c r="M26" i="15"/>
  <c r="L26" i="15"/>
  <c r="K26" i="15"/>
  <c r="J26" i="15"/>
  <c r="I26" i="15"/>
  <c r="H26" i="15"/>
  <c r="G26" i="15"/>
  <c r="F26" i="15"/>
  <c r="E26" i="15"/>
  <c r="X15" i="15"/>
  <c r="Y15" i="15" s="1"/>
  <c r="Z15" i="15" s="1"/>
  <c r="AA15" i="15" s="1"/>
  <c r="S15" i="15"/>
  <c r="T15" i="15" s="1"/>
  <c r="U15" i="15" s="1"/>
  <c r="V15" i="15" s="1"/>
  <c r="N15" i="15"/>
  <c r="O15" i="15" s="1"/>
  <c r="P15" i="15" s="1"/>
  <c r="Q15" i="15" s="1"/>
  <c r="X14" i="15"/>
  <c r="Y14" i="15" s="1"/>
  <c r="Z14" i="15" s="1"/>
  <c r="AA14" i="15" s="1"/>
  <c r="S14" i="15"/>
  <c r="T14" i="15" s="1"/>
  <c r="U14" i="15" s="1"/>
  <c r="V14" i="15" s="1"/>
  <c r="P14" i="15"/>
  <c r="Q14" i="15" s="1"/>
  <c r="N14" i="15"/>
  <c r="O14" i="15" s="1"/>
  <c r="D57" i="14"/>
  <c r="D56" i="14"/>
  <c r="D55" i="14"/>
  <c r="F51" i="14"/>
  <c r="D51" i="14"/>
  <c r="T51" i="14" s="1"/>
  <c r="T145" i="14" s="1"/>
  <c r="D49" i="14"/>
  <c r="F45" i="14"/>
  <c r="D45" i="14"/>
  <c r="AE45" i="14" s="1"/>
  <c r="F41" i="14"/>
  <c r="D41" i="14"/>
  <c r="W41" i="14" s="1"/>
  <c r="F35" i="14"/>
  <c r="D35" i="14"/>
  <c r="W35" i="14" s="1"/>
  <c r="W101" i="14" s="1"/>
  <c r="D33" i="14"/>
  <c r="D30" i="14"/>
  <c r="F27" i="14"/>
  <c r="D27" i="14"/>
  <c r="W27" i="14" s="1"/>
  <c r="W77" i="14" s="1"/>
  <c r="D26" i="14"/>
  <c r="AE19" i="14"/>
  <c r="AD19" i="14"/>
  <c r="AC19" i="14"/>
  <c r="AB19" i="14"/>
  <c r="AA19" i="14"/>
  <c r="Z19" i="14"/>
  <c r="Y19" i="14"/>
  <c r="X19" i="14"/>
  <c r="W19" i="14"/>
  <c r="V19" i="14"/>
  <c r="U19" i="14"/>
  <c r="T19" i="14"/>
  <c r="S19" i="14"/>
  <c r="R19" i="14"/>
  <c r="Q19" i="14"/>
  <c r="P19" i="14"/>
  <c r="O19" i="14"/>
  <c r="N19" i="14"/>
  <c r="M19" i="14"/>
  <c r="L19" i="14"/>
  <c r="K19" i="14"/>
  <c r="J19" i="14"/>
  <c r="I19" i="14"/>
  <c r="H19" i="14"/>
  <c r="D19" i="14"/>
  <c r="D18" i="14"/>
  <c r="X58" i="14" s="1"/>
  <c r="D17" i="14"/>
  <c r="U17" i="14" s="1"/>
  <c r="D16" i="14"/>
  <c r="AA16" i="14" s="1" a="1"/>
  <c r="AA16" i="14" s="1"/>
  <c r="D15" i="14"/>
  <c r="D8" i="14"/>
  <c r="Z38" i="14" s="1"/>
  <c r="D7" i="14"/>
  <c r="D5" i="14"/>
  <c r="B63" i="13"/>
  <c r="P58" i="13"/>
  <c r="M58" i="13"/>
  <c r="J58" i="13"/>
  <c r="G58" i="13"/>
  <c r="B56" i="13"/>
  <c r="B52" i="13"/>
  <c r="B46" i="13"/>
  <c r="B42" i="13"/>
  <c r="C31" i="13"/>
  <c r="B29" i="13"/>
  <c r="B25" i="13"/>
  <c r="B23" i="13"/>
  <c r="B20" i="13"/>
  <c r="D16" i="13"/>
  <c r="C16" i="13"/>
  <c r="C61" i="13" s="1"/>
  <c r="L5" i="15" s="1"/>
  <c r="H5" i="14" l="1" a="1"/>
  <c r="H5" i="14" s="1"/>
  <c r="AB14" i="14" s="1"/>
  <c r="O6" i="14"/>
  <c r="W45" i="14"/>
  <c r="W86" i="14" s="1"/>
  <c r="J8" i="14"/>
  <c r="R23" i="14"/>
  <c r="R24" i="14" s="1"/>
  <c r="H45" i="14"/>
  <c r="X45" i="14"/>
  <c r="W23" i="14"/>
  <c r="W24" i="14" s="1"/>
  <c r="J38" i="14"/>
  <c r="J39" i="14" s="1"/>
  <c r="K45" i="14"/>
  <c r="AB45" i="14"/>
  <c r="I45" i="14"/>
  <c r="Z45" i="14"/>
  <c r="AA45" i="14"/>
  <c r="L45" i="14"/>
  <c r="N45" i="14"/>
  <c r="L8" i="14"/>
  <c r="V23" i="14"/>
  <c r="V24" i="14" s="1"/>
  <c r="H38" i="14"/>
  <c r="H39" i="14" s="1"/>
  <c r="J45" i="14"/>
  <c r="AA23" i="14"/>
  <c r="AA24" i="14" s="1"/>
  <c r="L38" i="14"/>
  <c r="L39" i="14" s="1"/>
  <c r="AB23" i="14"/>
  <c r="AB24" i="14" s="1"/>
  <c r="V38" i="14"/>
  <c r="V39" i="14" s="1"/>
  <c r="O45" i="14"/>
  <c r="Q23" i="14"/>
  <c r="Q24" i="14" s="1"/>
  <c r="K8" i="14"/>
  <c r="S23" i="14"/>
  <c r="S24" i="14" s="1"/>
  <c r="Z23" i="14"/>
  <c r="Z24" i="14" s="1"/>
  <c r="K38" i="14"/>
  <c r="K39" i="14" s="1"/>
  <c r="W38" i="14"/>
  <c r="W39" i="14" s="1"/>
  <c r="P45" i="14"/>
  <c r="T45" i="14"/>
  <c r="J23" i="14"/>
  <c r="J24" i="14" s="1"/>
  <c r="X38" i="14"/>
  <c r="X39" i="14" s="1"/>
  <c r="R46" i="14"/>
  <c r="R140" i="14" s="1"/>
  <c r="K23" i="14"/>
  <c r="K24" i="14" s="1"/>
  <c r="Y38" i="14"/>
  <c r="Y39" i="14" s="1"/>
  <c r="U45" i="14"/>
  <c r="L23" i="14"/>
  <c r="L24" i="14" s="1"/>
  <c r="W30" i="14"/>
  <c r="W31" i="14" s="1"/>
  <c r="V45" i="14"/>
  <c r="V86" i="14" s="1"/>
  <c r="L35" i="14"/>
  <c r="L101" i="14" s="1"/>
  <c r="W51" i="14"/>
  <c r="W145" i="14" s="1"/>
  <c r="K30" i="14"/>
  <c r="K31" i="14" s="1"/>
  <c r="L27" i="14"/>
  <c r="L127" i="14" s="1"/>
  <c r="X27" i="14"/>
  <c r="X77" i="14" s="1"/>
  <c r="X35" i="14"/>
  <c r="X101" i="14" s="1"/>
  <c r="L41" i="14"/>
  <c r="X41" i="14"/>
  <c r="AA46" i="14"/>
  <c r="AA140" i="14" s="1"/>
  <c r="AA141" i="14" s="1"/>
  <c r="AA150" i="14" s="1"/>
  <c r="I23" i="14"/>
  <c r="I24" i="14" s="1"/>
  <c r="X23" i="14"/>
  <c r="X24" i="14" s="1"/>
  <c r="L30" i="14"/>
  <c r="L31" i="14" s="1"/>
  <c r="I38" i="14"/>
  <c r="I39" i="14" s="1"/>
  <c r="AA38" i="14"/>
  <c r="AA39" i="14" s="1"/>
  <c r="M27" i="14"/>
  <c r="Y27" i="14"/>
  <c r="M35" i="14"/>
  <c r="M101" i="14" s="1"/>
  <c r="Y35" i="14"/>
  <c r="Y101" i="14" s="1"/>
  <c r="M41" i="14"/>
  <c r="Y41" i="14"/>
  <c r="M45" i="14"/>
  <c r="Y45" i="14"/>
  <c r="Y51" i="14"/>
  <c r="Y145" i="14" s="1"/>
  <c r="Z27" i="14"/>
  <c r="Z35" i="14"/>
  <c r="Z101" i="14" s="1"/>
  <c r="Z41" i="14"/>
  <c r="X30" i="14"/>
  <c r="X31" i="14" s="1"/>
  <c r="N35" i="14"/>
  <c r="N101" i="14" s="1"/>
  <c r="O30" i="14"/>
  <c r="O31" i="14" s="1"/>
  <c r="O27" i="14"/>
  <c r="AA27" i="14"/>
  <c r="O35" i="14"/>
  <c r="O101" i="14" s="1"/>
  <c r="AA35" i="14"/>
  <c r="AA101" i="14" s="1"/>
  <c r="O41" i="14"/>
  <c r="AA41" i="14"/>
  <c r="M8" i="14"/>
  <c r="N23" i="14"/>
  <c r="N24" i="14" s="1"/>
  <c r="AC23" i="14"/>
  <c r="AC24" i="14" s="1"/>
  <c r="Y30" i="14"/>
  <c r="Y31" i="14" s="1"/>
  <c r="S38" i="14"/>
  <c r="S39" i="14" s="1"/>
  <c r="Q27" i="14"/>
  <c r="Q127" i="14" s="1"/>
  <c r="AC27" i="14"/>
  <c r="AC127" i="14" s="1"/>
  <c r="Q35" i="14"/>
  <c r="Q101" i="14" s="1"/>
  <c r="AC35" i="14"/>
  <c r="AC101" i="14" s="1"/>
  <c r="Q41" i="14"/>
  <c r="AC41" i="14"/>
  <c r="Q45" i="14"/>
  <c r="Q86" i="14" s="1"/>
  <c r="AC45" i="14"/>
  <c r="H7" i="14"/>
  <c r="K7" i="14" s="1"/>
  <c r="M30" i="14"/>
  <c r="M31" i="14" s="1"/>
  <c r="N41" i="14"/>
  <c r="N8" i="14"/>
  <c r="O23" i="14"/>
  <c r="O24" i="14" s="1"/>
  <c r="AD23" i="14"/>
  <c r="AD24" i="14" s="1"/>
  <c r="Z30" i="14"/>
  <c r="Z31" i="14" s="1"/>
  <c r="T38" i="14"/>
  <c r="T39" i="14" s="1"/>
  <c r="R27" i="14"/>
  <c r="R127" i="14" s="1"/>
  <c r="AD27" i="14"/>
  <c r="AD127" i="14" s="1"/>
  <c r="R35" i="14"/>
  <c r="R101" i="14" s="1"/>
  <c r="AD35" i="14"/>
  <c r="AD101" i="14" s="1"/>
  <c r="R41" i="14"/>
  <c r="R64" i="14" s="1"/>
  <c r="AD41" i="14"/>
  <c r="R45" i="14"/>
  <c r="AD45" i="14"/>
  <c r="N27" i="14"/>
  <c r="D42" i="14"/>
  <c r="AC42" i="14" s="1"/>
  <c r="P27" i="14"/>
  <c r="P127" i="14" s="1"/>
  <c r="AB27" i="14"/>
  <c r="AB127" i="14" s="1"/>
  <c r="P35" i="14"/>
  <c r="P101" i="14" s="1"/>
  <c r="AB35" i="14"/>
  <c r="AB101" i="14" s="1"/>
  <c r="P41" i="14"/>
  <c r="AB41" i="14"/>
  <c r="O8" i="14"/>
  <c r="P23" i="14"/>
  <c r="P24" i="14" s="1"/>
  <c r="AE23" i="14"/>
  <c r="AE24" i="14" s="1"/>
  <c r="AB30" i="14"/>
  <c r="AB31" i="14" s="1"/>
  <c r="U38" i="14"/>
  <c r="U39" i="14" s="1"/>
  <c r="S27" i="14"/>
  <c r="S127" i="14" s="1"/>
  <c r="AE27" i="14"/>
  <c r="AE127" i="14" s="1"/>
  <c r="S35" i="14"/>
  <c r="S101" i="14" s="1"/>
  <c r="AE35" i="14"/>
  <c r="AE101" i="14" s="1"/>
  <c r="S41" i="14"/>
  <c r="AE41" i="14"/>
  <c r="S45" i="14"/>
  <c r="S86" i="14" s="1"/>
  <c r="O15" i="14"/>
  <c r="H27" i="14"/>
  <c r="T27" i="14"/>
  <c r="H35" i="14"/>
  <c r="H101" i="14" s="1"/>
  <c r="T35" i="14"/>
  <c r="T101" i="14" s="1"/>
  <c r="H41" i="14"/>
  <c r="T41" i="14"/>
  <c r="I51" i="14"/>
  <c r="I145" i="14" s="1"/>
  <c r="Q46" i="14"/>
  <c r="Q140" i="14" s="1"/>
  <c r="I27" i="14"/>
  <c r="I127" i="14" s="1"/>
  <c r="U27" i="14"/>
  <c r="U77" i="14" s="1"/>
  <c r="I35" i="14"/>
  <c r="I101" i="14" s="1"/>
  <c r="U35" i="14"/>
  <c r="U101" i="14" s="1"/>
  <c r="I41" i="14"/>
  <c r="I64" i="14" s="1"/>
  <c r="U41" i="14"/>
  <c r="J51" i="14"/>
  <c r="J145" i="14" s="1"/>
  <c r="J27" i="14"/>
  <c r="J127" i="14" s="1"/>
  <c r="V27" i="14"/>
  <c r="V77" i="14" s="1"/>
  <c r="J35" i="14"/>
  <c r="J101" i="14" s="1"/>
  <c r="V35" i="14"/>
  <c r="V101" i="14" s="1"/>
  <c r="J41" i="14"/>
  <c r="V41" i="14"/>
  <c r="K51" i="14"/>
  <c r="K145" i="14" s="1"/>
  <c r="K27" i="14"/>
  <c r="K127" i="14" s="1"/>
  <c r="K35" i="14"/>
  <c r="K101" i="14" s="1"/>
  <c r="K41" i="14"/>
  <c r="V51" i="14"/>
  <c r="V145" i="14" s="1"/>
  <c r="L51" i="14"/>
  <c r="L145" i="14" s="1"/>
  <c r="M51" i="14"/>
  <c r="M145" i="14" s="1"/>
  <c r="U51" i="14"/>
  <c r="U145" i="14" s="1"/>
  <c r="X51" i="14"/>
  <c r="X145" i="14" s="1"/>
  <c r="X18" i="14"/>
  <c r="AC18" i="14"/>
  <c r="AD18" i="14"/>
  <c r="V18" i="14"/>
  <c r="W18" i="14"/>
  <c r="J18" i="14"/>
  <c r="Y18" i="14"/>
  <c r="M18" i="14"/>
  <c r="AE18" i="14"/>
  <c r="Q18" i="14"/>
  <c r="L18" i="14"/>
  <c r="K58" i="14"/>
  <c r="I18" i="14"/>
  <c r="K18" i="14"/>
  <c r="AA18" i="14"/>
  <c r="AB18" i="14"/>
  <c r="N18" i="14"/>
  <c r="O18" i="14"/>
  <c r="P18" i="14"/>
  <c r="R18" i="14"/>
  <c r="U18" i="14"/>
  <c r="L58" i="14"/>
  <c r="Q17" i="14"/>
  <c r="P17" i="14"/>
  <c r="R17" i="14"/>
  <c r="X17" i="14"/>
  <c r="J17" i="14"/>
  <c r="Y17" i="14"/>
  <c r="K17" i="14"/>
  <c r="Z17" i="14"/>
  <c r="L17" i="14"/>
  <c r="AB17" i="14"/>
  <c r="N17" i="14"/>
  <c r="AC17" i="14"/>
  <c r="V17" i="14"/>
  <c r="W17" i="14"/>
  <c r="AA17" i="14"/>
  <c r="M17" i="14"/>
  <c r="O17" i="14"/>
  <c r="AD17" i="14"/>
  <c r="N51" i="14"/>
  <c r="N145" i="14" s="1"/>
  <c r="Z51" i="14"/>
  <c r="Z145" i="14" s="1"/>
  <c r="O51" i="14"/>
  <c r="O145" i="14" s="1"/>
  <c r="AA51" i="14"/>
  <c r="AA145" i="14" s="1"/>
  <c r="P51" i="14"/>
  <c r="P145" i="14" s="1"/>
  <c r="AB51" i="14"/>
  <c r="AB145" i="14" s="1"/>
  <c r="Q51" i="14"/>
  <c r="Q145" i="14" s="1"/>
  <c r="AC51" i="14"/>
  <c r="AC145" i="14" s="1"/>
  <c r="R51" i="14"/>
  <c r="R145" i="14" s="1"/>
  <c r="AD51" i="14"/>
  <c r="AD145" i="14" s="1"/>
  <c r="S51" i="14"/>
  <c r="S145" i="14" s="1"/>
  <c r="AE51" i="14"/>
  <c r="AE145" i="14" s="1"/>
  <c r="H51" i="14"/>
  <c r="H145" i="14" s="1"/>
  <c r="P16" i="14" a="1"/>
  <c r="P16" i="14" s="1"/>
  <c r="V16" i="14" a="1"/>
  <c r="V16" i="14" s="1"/>
  <c r="AE16" i="14" a="1"/>
  <c r="AE16" i="14" s="1"/>
  <c r="X16" i="14" a="1"/>
  <c r="X16" i="14" s="1"/>
  <c r="K16" i="14" a="1"/>
  <c r="K16" i="14" s="1"/>
  <c r="L16" i="14" a="1"/>
  <c r="L16" i="14" s="1"/>
  <c r="M16" i="14" a="1"/>
  <c r="M16" i="14" s="1"/>
  <c r="Q16" i="14" a="1"/>
  <c r="Q16" i="14" s="1"/>
  <c r="AC16" i="14" a="1"/>
  <c r="AC16" i="14" s="1"/>
  <c r="R16" i="14" a="1"/>
  <c r="R16" i="14" s="1"/>
  <c r="S16" i="14" a="1"/>
  <c r="S16" i="14" s="1"/>
  <c r="AD16" i="14" a="1"/>
  <c r="AD16" i="14" s="1"/>
  <c r="W16" i="14" a="1"/>
  <c r="W16" i="14" s="1"/>
  <c r="Y16" i="14" a="1"/>
  <c r="Y16" i="14" s="1"/>
  <c r="J16" i="14" a="1"/>
  <c r="J16" i="14" s="1"/>
  <c r="AB16" i="14" a="1"/>
  <c r="AB16" i="14" s="1"/>
  <c r="W127" i="14"/>
  <c r="R77" i="14"/>
  <c r="AD77" i="14"/>
  <c r="AE86" i="14"/>
  <c r="AA15" i="14"/>
  <c r="P15" i="14"/>
  <c r="AB15" i="14"/>
  <c r="P14" i="14"/>
  <c r="Z15" i="14"/>
  <c r="X15" i="14"/>
  <c r="L15" i="14"/>
  <c r="Y14" i="14"/>
  <c r="M14" i="14"/>
  <c r="W15" i="14"/>
  <c r="K14" i="14"/>
  <c r="U15" i="14"/>
  <c r="J14" i="14"/>
  <c r="U14" i="14"/>
  <c r="I15" i="14"/>
  <c r="AD15" i="14"/>
  <c r="R15" i="14"/>
  <c r="AE14" i="14"/>
  <c r="S14" i="14"/>
  <c r="Q14" i="14"/>
  <c r="S46" i="14"/>
  <c r="S140" i="14" s="1"/>
  <c r="N30" i="14"/>
  <c r="AA30" i="14"/>
  <c r="T46" i="14"/>
  <c r="T140" i="14" s="1"/>
  <c r="M58" i="14"/>
  <c r="V46" i="14"/>
  <c r="V140" i="14" s="1"/>
  <c r="N58" i="14"/>
  <c r="Z46" i="14"/>
  <c r="Z140" i="14" s="1"/>
  <c r="W58" i="14"/>
  <c r="P30" i="14"/>
  <c r="H16" i="14" a="1"/>
  <c r="H16" i="14" s="1"/>
  <c r="N16" i="14" a="1"/>
  <c r="N16" i="14" s="1"/>
  <c r="T16" i="14" a="1"/>
  <c r="T16" i="14" s="1"/>
  <c r="Z16" i="14" a="1"/>
  <c r="Z16" i="14" s="1"/>
  <c r="S17" i="14"/>
  <c r="AE17" i="14"/>
  <c r="Q30" i="14"/>
  <c r="AD30" i="14"/>
  <c r="M38" i="14"/>
  <c r="AE38" i="14"/>
  <c r="AC30" i="14"/>
  <c r="Y46" i="14"/>
  <c r="Y140" i="14" s="1"/>
  <c r="M46" i="14"/>
  <c r="M140" i="14" s="1"/>
  <c r="AD38" i="14"/>
  <c r="R38" i="14"/>
  <c r="U30" i="14"/>
  <c r="I30" i="14"/>
  <c r="Y23" i="14"/>
  <c r="M23" i="14"/>
  <c r="X46" i="14"/>
  <c r="X140" i="14" s="1"/>
  <c r="L46" i="14"/>
  <c r="L140" i="14" s="1"/>
  <c r="AC38" i="14"/>
  <c r="Q38" i="14"/>
  <c r="W46" i="14"/>
  <c r="W140" i="14" s="1"/>
  <c r="K46" i="14"/>
  <c r="K140" i="14" s="1"/>
  <c r="AB38" i="14"/>
  <c r="P38" i="14"/>
  <c r="U46" i="14"/>
  <c r="U140" i="14" s="1"/>
  <c r="I46" i="14"/>
  <c r="I140" i="14" s="1"/>
  <c r="H17" i="14"/>
  <c r="T17" i="14"/>
  <c r="V58" i="14"/>
  <c r="J58" i="14"/>
  <c r="U58" i="14"/>
  <c r="I58" i="14"/>
  <c r="T58" i="14"/>
  <c r="H58" i="14"/>
  <c r="AE58" i="14"/>
  <c r="S58" i="14"/>
  <c r="Z18" i="14"/>
  <c r="AD58" i="14"/>
  <c r="R58" i="14"/>
  <c r="AC58" i="14"/>
  <c r="Q58" i="14"/>
  <c r="AB58" i="14"/>
  <c r="P58" i="14"/>
  <c r="AA58" i="14"/>
  <c r="O58" i="14"/>
  <c r="S18" i="14"/>
  <c r="T23" i="14"/>
  <c r="R30" i="14"/>
  <c r="AE30" i="14"/>
  <c r="N38" i="14"/>
  <c r="H46" i="14"/>
  <c r="H140" i="14" s="1"/>
  <c r="AB46" i="14"/>
  <c r="AB140" i="14" s="1"/>
  <c r="Y58" i="14"/>
  <c r="I8" i="14"/>
  <c r="I16" i="14" a="1"/>
  <c r="I16" i="14" s="1"/>
  <c r="O16" i="14" a="1"/>
  <c r="O16" i="14" s="1"/>
  <c r="U16" i="14" a="1"/>
  <c r="U16" i="14" s="1"/>
  <c r="I17" i="14"/>
  <c r="H18" i="14"/>
  <c r="T18" i="14"/>
  <c r="H23" i="14"/>
  <c r="U23" i="14"/>
  <c r="S30" i="14"/>
  <c r="O38" i="14"/>
  <c r="J46" i="14"/>
  <c r="J140" i="14" s="1"/>
  <c r="AC46" i="14"/>
  <c r="AC140" i="14" s="1"/>
  <c r="Z58" i="14"/>
  <c r="T30" i="14"/>
  <c r="N46" i="14"/>
  <c r="N140" i="14" s="1"/>
  <c r="AD46" i="14"/>
  <c r="AD140" i="14" s="1"/>
  <c r="H30" i="14"/>
  <c r="V30" i="14"/>
  <c r="Z39" i="14"/>
  <c r="O46" i="14"/>
  <c r="O140" i="14" s="1"/>
  <c r="AE46" i="14"/>
  <c r="AE140" i="14" s="1"/>
  <c r="J30" i="14"/>
  <c r="P46" i="14"/>
  <c r="P140" i="14" s="1"/>
  <c r="X65" i="14" l="1"/>
  <c r="K65" i="14"/>
  <c r="AE64" i="14"/>
  <c r="AE15" i="14"/>
  <c r="W14" i="14"/>
  <c r="N14" i="14"/>
  <c r="N48" i="14" s="1"/>
  <c r="AD14" i="14"/>
  <c r="AD32" i="14" s="1"/>
  <c r="AD36" i="14" s="1"/>
  <c r="W65" i="14"/>
  <c r="T15" i="14"/>
  <c r="T34" i="14" s="1"/>
  <c r="T96" i="14" s="1"/>
  <c r="J15" i="14"/>
  <c r="J34" i="14" s="1"/>
  <c r="J96" i="14" s="1"/>
  <c r="Z14" i="14"/>
  <c r="Z48" i="14" s="1"/>
  <c r="Z49" i="14" s="1"/>
  <c r="Z138" i="14" s="1"/>
  <c r="Z147" i="14" s="1"/>
  <c r="H14" i="14"/>
  <c r="H32" i="14" s="1"/>
  <c r="V15" i="14"/>
  <c r="V50" i="14" s="1"/>
  <c r="M15" i="14"/>
  <c r="M50" i="14" s="1"/>
  <c r="Q15" i="14"/>
  <c r="Q34" i="14" s="1"/>
  <c r="Q96" i="14" s="1"/>
  <c r="T14" i="14"/>
  <c r="H15" i="14"/>
  <c r="Y15" i="14"/>
  <c r="Y34" i="14" s="1"/>
  <c r="Y96" i="14" s="1"/>
  <c r="AC14" i="14"/>
  <c r="AC25" i="14" s="1"/>
  <c r="S15" i="14"/>
  <c r="S50" i="14" s="1"/>
  <c r="L14" i="14"/>
  <c r="L48" i="14" s="1"/>
  <c r="L49" i="14" s="1"/>
  <c r="O14" i="14"/>
  <c r="O25" i="14" s="1"/>
  <c r="O26" i="14" s="1"/>
  <c r="AC15" i="14"/>
  <c r="AC34" i="14" s="1"/>
  <c r="AC96" i="14" s="1"/>
  <c r="I14" i="14"/>
  <c r="I32" i="14" s="1"/>
  <c r="I33" i="14" s="1"/>
  <c r="X14" i="14"/>
  <c r="X32" i="14" s="1"/>
  <c r="X33" i="14" s="1"/>
  <c r="X37" i="14" s="1"/>
  <c r="AA14" i="14"/>
  <c r="AA32" i="14" s="1"/>
  <c r="AA33" i="14" s="1"/>
  <c r="R14" i="14"/>
  <c r="R32" i="14" s="1"/>
  <c r="R33" i="14" s="1"/>
  <c r="V14" i="14"/>
  <c r="K15" i="14"/>
  <c r="N15" i="14"/>
  <c r="N50" i="14" s="1"/>
  <c r="R42" i="14"/>
  <c r="R43" i="14" s="1"/>
  <c r="O42" i="14"/>
  <c r="O43" i="14" s="1"/>
  <c r="O87" i="14" s="1"/>
  <c r="AA42" i="14"/>
  <c r="AA43" i="14" s="1"/>
  <c r="N86" i="14"/>
  <c r="T64" i="14"/>
  <c r="AB42" i="14"/>
  <c r="AB43" i="14" s="1"/>
  <c r="AB87" i="14" s="1"/>
  <c r="J65" i="14"/>
  <c r="I7" i="14"/>
  <c r="K59" i="13"/>
  <c r="S65" i="14"/>
  <c r="I86" i="14"/>
  <c r="J7" i="14"/>
  <c r="P86" i="14"/>
  <c r="X86" i="14"/>
  <c r="V65" i="14"/>
  <c r="N7" i="14"/>
  <c r="Z86" i="14"/>
  <c r="M64" i="14"/>
  <c r="AE77" i="14"/>
  <c r="AB77" i="14"/>
  <c r="P77" i="14"/>
  <c r="S64" i="14"/>
  <c r="X127" i="14"/>
  <c r="K77" i="14"/>
  <c r="V64" i="14"/>
  <c r="I77" i="14"/>
  <c r="AD40" i="14"/>
  <c r="W111" i="14"/>
  <c r="Y111" i="14"/>
  <c r="V55" i="14"/>
  <c r="K111" i="14"/>
  <c r="R47" i="14"/>
  <c r="R112" i="14" s="1"/>
  <c r="Q77" i="14"/>
  <c r="L7" i="14"/>
  <c r="R142" i="14"/>
  <c r="R143" i="14" s="1"/>
  <c r="R144" i="14" s="1"/>
  <c r="R149" i="14" s="1"/>
  <c r="L86" i="14"/>
  <c r="Y86" i="14"/>
  <c r="J86" i="14"/>
  <c r="U127" i="14"/>
  <c r="R141" i="14"/>
  <c r="R150" i="14" s="1"/>
  <c r="L77" i="14"/>
  <c r="AC64" i="14"/>
  <c r="I65" i="14"/>
  <c r="I66" i="14" s="1"/>
  <c r="I67" i="14" s="1"/>
  <c r="I68" i="14" s="1"/>
  <c r="AD64" i="14"/>
  <c r="AC77" i="14"/>
  <c r="Q64" i="14"/>
  <c r="M86" i="14"/>
  <c r="M42" i="14"/>
  <c r="M43" i="14" s="1"/>
  <c r="M87" i="14" s="1"/>
  <c r="M88" i="14" s="1"/>
  <c r="Y42" i="14"/>
  <c r="Y44" i="14" s="1"/>
  <c r="U42" i="14"/>
  <c r="U43" i="14" s="1"/>
  <c r="S42" i="14"/>
  <c r="S44" i="14" s="1"/>
  <c r="AD86" i="14"/>
  <c r="Z127" i="14"/>
  <c r="Z77" i="14"/>
  <c r="K42" i="14"/>
  <c r="K44" i="14" s="1"/>
  <c r="AA142" i="14"/>
  <c r="AA143" i="14" s="1"/>
  <c r="AA144" i="14" s="1"/>
  <c r="AA149" i="14" s="1"/>
  <c r="V111" i="14"/>
  <c r="O86" i="14"/>
  <c r="V127" i="14"/>
  <c r="T77" i="14"/>
  <c r="T127" i="14"/>
  <c r="AA127" i="14"/>
  <c r="AA77" i="14"/>
  <c r="I42" i="14"/>
  <c r="V42" i="14"/>
  <c r="V43" i="14" s="1"/>
  <c r="N42" i="14"/>
  <c r="W42" i="14"/>
  <c r="AD42" i="14"/>
  <c r="AA86" i="14"/>
  <c r="T86" i="14"/>
  <c r="H77" i="14"/>
  <c r="H127" i="14"/>
  <c r="O77" i="14"/>
  <c r="O127" i="14"/>
  <c r="J42" i="14"/>
  <c r="J44" i="14" s="1"/>
  <c r="T42" i="14"/>
  <c r="T44" i="14" s="1"/>
  <c r="O7" i="14"/>
  <c r="H42" i="14"/>
  <c r="H43" i="14" s="1"/>
  <c r="X42" i="14"/>
  <c r="N77" i="14"/>
  <c r="N127" i="14"/>
  <c r="Z42" i="14"/>
  <c r="Z43" i="14" s="1"/>
  <c r="Z87" i="14" s="1"/>
  <c r="Q47" i="14"/>
  <c r="Q112" i="14" s="1"/>
  <c r="L42" i="14"/>
  <c r="H86" i="14"/>
  <c r="Q142" i="14"/>
  <c r="Q143" i="14" s="1"/>
  <c r="Q144" i="14" s="1"/>
  <c r="Q149" i="14" s="1"/>
  <c r="AE42" i="14"/>
  <c r="AE43" i="14" s="1"/>
  <c r="AB86" i="14"/>
  <c r="U86" i="14"/>
  <c r="S77" i="14"/>
  <c r="M7" i="14"/>
  <c r="Y127" i="14"/>
  <c r="Y77" i="14"/>
  <c r="Q42" i="14"/>
  <c r="Q44" i="14" s="1"/>
  <c r="AA47" i="14"/>
  <c r="AA112" i="14" s="1"/>
  <c r="P42" i="14"/>
  <c r="P43" i="14" s="1"/>
  <c r="K86" i="14"/>
  <c r="J77" i="14"/>
  <c r="Q141" i="14"/>
  <c r="Q150" i="14" s="1"/>
  <c r="M77" i="14"/>
  <c r="M127" i="14"/>
  <c r="J64" i="14"/>
  <c r="AC86" i="14"/>
  <c r="Z111" i="14"/>
  <c r="L111" i="14"/>
  <c r="N111" i="14"/>
  <c r="AA111" i="14"/>
  <c r="O111" i="14"/>
  <c r="W34" i="14"/>
  <c r="W96" i="14" s="1"/>
  <c r="AE34" i="14"/>
  <c r="AE96" i="14" s="1"/>
  <c r="AD34" i="14"/>
  <c r="AD96" i="14" s="1"/>
  <c r="AB34" i="14"/>
  <c r="AB96" i="14" s="1"/>
  <c r="AE111" i="14"/>
  <c r="S111" i="14"/>
  <c r="AE50" i="14"/>
  <c r="K50" i="14"/>
  <c r="U34" i="14"/>
  <c r="U96" i="14" s="1"/>
  <c r="AD50" i="14"/>
  <c r="AA34" i="14"/>
  <c r="AA96" i="14" s="1"/>
  <c r="Q48" i="14"/>
  <c r="Q25" i="14"/>
  <c r="Q40" i="14"/>
  <c r="Q32" i="14"/>
  <c r="V48" i="14"/>
  <c r="V137" i="14" s="1"/>
  <c r="V146" i="14" s="1"/>
  <c r="V40" i="14"/>
  <c r="V25" i="14"/>
  <c r="V28" i="14" s="1"/>
  <c r="V32" i="14"/>
  <c r="P48" i="14"/>
  <c r="P49" i="14" s="1"/>
  <c r="P25" i="14"/>
  <c r="P28" i="14" s="1"/>
  <c r="P40" i="14"/>
  <c r="P32" i="14"/>
  <c r="P33" i="14" s="1"/>
  <c r="W50" i="14"/>
  <c r="K34" i="14"/>
  <c r="K96" i="14" s="1"/>
  <c r="M32" i="14"/>
  <c r="M48" i="14"/>
  <c r="M40" i="14"/>
  <c r="M25" i="14"/>
  <c r="M28" i="14" s="1"/>
  <c r="P50" i="14"/>
  <c r="S40" i="14"/>
  <c r="S32" i="14"/>
  <c r="S48" i="14"/>
  <c r="S25" i="14"/>
  <c r="J48" i="14"/>
  <c r="J40" i="14"/>
  <c r="J25" i="14"/>
  <c r="J28" i="14" s="1"/>
  <c r="J32" i="14"/>
  <c r="R34" i="14"/>
  <c r="R96" i="14" s="1"/>
  <c r="U50" i="14"/>
  <c r="R50" i="14"/>
  <c r="W25" i="14"/>
  <c r="W28" i="14" s="1"/>
  <c r="W32" i="14"/>
  <c r="W33" i="14" s="1"/>
  <c r="W48" i="14"/>
  <c r="W137" i="14" s="1"/>
  <c r="W146" i="14" s="1"/>
  <c r="W40" i="14"/>
  <c r="AB25" i="14"/>
  <c r="AB28" i="14" s="1"/>
  <c r="AB40" i="14"/>
  <c r="AB48" i="14"/>
  <c r="AB49" i="14" s="1"/>
  <c r="AB32" i="14"/>
  <c r="AB33" i="14" s="1"/>
  <c r="AB37" i="14" s="1"/>
  <c r="AB50" i="14"/>
  <c r="Y32" i="14"/>
  <c r="Y48" i="14"/>
  <c r="Y40" i="14"/>
  <c r="Y25" i="14"/>
  <c r="Y26" i="14" s="1"/>
  <c r="K25" i="14"/>
  <c r="K26" i="14" s="1"/>
  <c r="K32" i="14"/>
  <c r="K48" i="14"/>
  <c r="K49" i="14" s="1"/>
  <c r="K40" i="14"/>
  <c r="T25" i="14"/>
  <c r="T48" i="14"/>
  <c r="T40" i="14"/>
  <c r="T32" i="14"/>
  <c r="T36" i="14" s="1"/>
  <c r="AA50" i="14"/>
  <c r="U48" i="14"/>
  <c r="U137" i="14" s="1"/>
  <c r="U146" i="14" s="1"/>
  <c r="U40" i="14"/>
  <c r="U25" i="14"/>
  <c r="U28" i="14" s="1"/>
  <c r="U32" i="14"/>
  <c r="U33" i="14" s="1"/>
  <c r="AE48" i="14"/>
  <c r="AE49" i="14" s="1"/>
  <c r="AE32" i="14"/>
  <c r="AE33" i="14" s="1"/>
  <c r="AE40" i="14"/>
  <c r="AE25" i="14"/>
  <c r="AE26" i="14" s="1"/>
  <c r="AE29" i="14" s="1"/>
  <c r="X50" i="14"/>
  <c r="P34" i="14"/>
  <c r="P96" i="14" s="1"/>
  <c r="X34" i="14"/>
  <c r="X96" i="14" s="1"/>
  <c r="K64" i="14"/>
  <c r="K66" i="14" s="1"/>
  <c r="K56" i="14" s="1"/>
  <c r="Y64" i="14"/>
  <c r="N64" i="14"/>
  <c r="M111" i="14"/>
  <c r="L64" i="14"/>
  <c r="AC111" i="14"/>
  <c r="X64" i="14"/>
  <c r="W64" i="14"/>
  <c r="AA64" i="14"/>
  <c r="S142" i="14"/>
  <c r="S141" i="14"/>
  <c r="S150" i="14" s="1"/>
  <c r="S47" i="14"/>
  <c r="S112" i="14" s="1"/>
  <c r="J31" i="14"/>
  <c r="I141" i="14"/>
  <c r="I150" i="14" s="1"/>
  <c r="I142" i="14"/>
  <c r="I47" i="14"/>
  <c r="I112" i="14" s="1"/>
  <c r="L141" i="14"/>
  <c r="L150" i="14" s="1"/>
  <c r="L142" i="14"/>
  <c r="L47" i="14"/>
  <c r="L112" i="14" s="1"/>
  <c r="AC31" i="14"/>
  <c r="Q31" i="14"/>
  <c r="U111" i="14"/>
  <c r="P111" i="14"/>
  <c r="V31" i="14"/>
  <c r="U24" i="14"/>
  <c r="U142" i="14"/>
  <c r="U141" i="14"/>
  <c r="U150" i="14" s="1"/>
  <c r="U47" i="14"/>
  <c r="X142" i="14"/>
  <c r="X141" i="14"/>
  <c r="X150" i="14" s="1"/>
  <c r="X47" i="14"/>
  <c r="X112" i="14" s="1"/>
  <c r="Z64" i="14"/>
  <c r="P39" i="14"/>
  <c r="P65" i="14" s="1"/>
  <c r="M24" i="14"/>
  <c r="O64" i="14"/>
  <c r="AB39" i="14"/>
  <c r="AB65" i="14" s="1"/>
  <c r="Z65" i="14"/>
  <c r="Q111" i="14"/>
  <c r="AD111" i="14"/>
  <c r="M142" i="14"/>
  <c r="M141" i="14"/>
  <c r="M150" i="14" s="1"/>
  <c r="M47" i="14"/>
  <c r="Y142" i="14"/>
  <c r="Y141" i="14"/>
  <c r="Y150" i="14" s="1"/>
  <c r="Y47" i="14"/>
  <c r="S31" i="14"/>
  <c r="H31" i="14"/>
  <c r="AC142" i="14"/>
  <c r="AC141" i="14"/>
  <c r="AC150" i="14" s="1"/>
  <c r="AC47" i="14"/>
  <c r="AC112" i="14" s="1"/>
  <c r="AE142" i="14"/>
  <c r="AE141" i="14"/>
  <c r="AE150" i="14" s="1"/>
  <c r="AE47" i="14"/>
  <c r="AE112" i="14" s="1"/>
  <c r="O142" i="14"/>
  <c r="O141" i="14"/>
  <c r="O150" i="14" s="1"/>
  <c r="O47" i="14"/>
  <c r="O112" i="14" s="1"/>
  <c r="I31" i="14"/>
  <c r="P64" i="14"/>
  <c r="AA31" i="14"/>
  <c r="L65" i="14"/>
  <c r="R111" i="14"/>
  <c r="AD31" i="14"/>
  <c r="N39" i="14"/>
  <c r="N65" i="14" s="1"/>
  <c r="Y24" i="14"/>
  <c r="AE31" i="14"/>
  <c r="U31" i="14"/>
  <c r="AB64" i="14"/>
  <c r="Z142" i="14"/>
  <c r="Z141" i="14"/>
  <c r="Z150" i="14" s="1"/>
  <c r="Z47" i="14"/>
  <c r="Z112" i="14" s="1"/>
  <c r="N31" i="14"/>
  <c r="I111" i="14"/>
  <c r="H24" i="14"/>
  <c r="P142" i="14"/>
  <c r="P141" i="14"/>
  <c r="P150" i="14" s="1"/>
  <c r="P47" i="14"/>
  <c r="P112" i="14" s="1"/>
  <c r="J142" i="14"/>
  <c r="J141" i="14"/>
  <c r="J150" i="14" s="1"/>
  <c r="J47" i="14"/>
  <c r="J112" i="14" s="1"/>
  <c r="T31" i="14"/>
  <c r="H64" i="14"/>
  <c r="R31" i="14"/>
  <c r="K141" i="14"/>
  <c r="K150" i="14" s="1"/>
  <c r="K142" i="14"/>
  <c r="K47" i="14"/>
  <c r="K112" i="14" s="1"/>
  <c r="R39" i="14"/>
  <c r="R65" i="14" s="1"/>
  <c r="R66" i="14" s="1"/>
  <c r="AE39" i="14"/>
  <c r="AE65" i="14" s="1"/>
  <c r="AE66" i="14" s="1"/>
  <c r="U64" i="14"/>
  <c r="X111" i="14"/>
  <c r="AA65" i="14"/>
  <c r="T111" i="14"/>
  <c r="AD142" i="14"/>
  <c r="AD141" i="14"/>
  <c r="AD150" i="14" s="1"/>
  <c r="AD47" i="14"/>
  <c r="AD112" i="14" s="1"/>
  <c r="O39" i="14"/>
  <c r="O65" i="14" s="1"/>
  <c r="AB111" i="14"/>
  <c r="T24" i="14"/>
  <c r="W142" i="14"/>
  <c r="W141" i="14"/>
  <c r="W150" i="14" s="1"/>
  <c r="W47" i="14"/>
  <c r="W112" i="14" s="1"/>
  <c r="AD39" i="14"/>
  <c r="AD65" i="14" s="1"/>
  <c r="AD66" i="14" s="1"/>
  <c r="M39" i="14"/>
  <c r="AC43" i="14"/>
  <c r="J111" i="14"/>
  <c r="H111" i="14"/>
  <c r="N142" i="14"/>
  <c r="N141" i="14"/>
  <c r="N150" i="14" s="1"/>
  <c r="N47" i="14"/>
  <c r="N112" i="14" s="1"/>
  <c r="AB142" i="14"/>
  <c r="AB141" i="14"/>
  <c r="AB150" i="14" s="1"/>
  <c r="AB47" i="14"/>
  <c r="AB112" i="14" s="1"/>
  <c r="Q39" i="14"/>
  <c r="Q65" i="14" s="1"/>
  <c r="V142" i="14"/>
  <c r="V141" i="14"/>
  <c r="V150" i="14" s="1"/>
  <c r="V47" i="14"/>
  <c r="V112" i="14" s="1"/>
  <c r="V113" i="14" s="1"/>
  <c r="T142" i="14"/>
  <c r="T141" i="14"/>
  <c r="T150" i="14" s="1"/>
  <c r="T47" i="14"/>
  <c r="R86" i="14"/>
  <c r="H142" i="14"/>
  <c r="H141" i="14"/>
  <c r="H150" i="14" s="1"/>
  <c r="H47" i="14"/>
  <c r="AC39" i="14"/>
  <c r="AC65" i="14" s="1"/>
  <c r="P31" i="14"/>
  <c r="AC48" i="14" l="1"/>
  <c r="S33" i="14"/>
  <c r="S37" i="14" s="1"/>
  <c r="I25" i="14"/>
  <c r="I28" i="14" s="1"/>
  <c r="I82" i="14" s="1"/>
  <c r="L50" i="14"/>
  <c r="H50" i="14"/>
  <c r="L34" i="14"/>
  <c r="L96" i="14" s="1"/>
  <c r="O34" i="14"/>
  <c r="O96" i="14" s="1"/>
  <c r="N49" i="14"/>
  <c r="N138" i="14" s="1"/>
  <c r="N147" i="14" s="1"/>
  <c r="H34" i="14"/>
  <c r="H96" i="14" s="1"/>
  <c r="I40" i="14"/>
  <c r="H40" i="14"/>
  <c r="O50" i="14"/>
  <c r="I48" i="14"/>
  <c r="I49" i="14" s="1"/>
  <c r="Z50" i="14"/>
  <c r="Z34" i="14"/>
  <c r="Z96" i="14" s="1"/>
  <c r="H48" i="14"/>
  <c r="H49" i="14" s="1"/>
  <c r="H138" i="14" s="1"/>
  <c r="H147" i="14" s="1"/>
  <c r="I34" i="14"/>
  <c r="I96" i="14" s="1"/>
  <c r="I50" i="14"/>
  <c r="X66" i="14"/>
  <c r="X56" i="14" s="1"/>
  <c r="H33" i="14"/>
  <c r="H37" i="14" s="1"/>
  <c r="N40" i="14"/>
  <c r="Y50" i="14"/>
  <c r="N32" i="14"/>
  <c r="N33" i="14" s="1"/>
  <c r="N37" i="14" s="1"/>
  <c r="AD25" i="14"/>
  <c r="AD28" i="14" s="1"/>
  <c r="N34" i="14"/>
  <c r="N96" i="14" s="1"/>
  <c r="Y49" i="14"/>
  <c r="Y138" i="14" s="1"/>
  <c r="Y147" i="14" s="1"/>
  <c r="S66" i="14"/>
  <c r="S67" i="14" s="1"/>
  <c r="S68" i="14" s="1"/>
  <c r="Y33" i="14"/>
  <c r="Y37" i="14" s="1"/>
  <c r="AD48" i="14"/>
  <c r="AD137" i="14" s="1"/>
  <c r="AD146" i="14" s="1"/>
  <c r="N25" i="14"/>
  <c r="N28" i="14" s="1"/>
  <c r="W44" i="14"/>
  <c r="N44" i="14"/>
  <c r="W66" i="14"/>
  <c r="W56" i="14" s="1"/>
  <c r="AB44" i="14"/>
  <c r="V44" i="14"/>
  <c r="J66" i="14"/>
  <c r="J67" i="14" s="1"/>
  <c r="J68" i="14" s="1"/>
  <c r="J69" i="14" s="1"/>
  <c r="J70" i="14" s="1"/>
  <c r="J78" i="14" s="1"/>
  <c r="X44" i="14"/>
  <c r="O48" i="14"/>
  <c r="O49" i="14" s="1"/>
  <c r="O138" i="14" s="1"/>
  <c r="O147" i="14" s="1"/>
  <c r="J50" i="14"/>
  <c r="O40" i="14"/>
  <c r="Z32" i="14"/>
  <c r="Z33" i="14" s="1"/>
  <c r="Z37" i="14" s="1"/>
  <c r="L25" i="14"/>
  <c r="L28" i="14" s="1"/>
  <c r="AC40" i="14"/>
  <c r="O32" i="14"/>
  <c r="O33" i="14" s="1"/>
  <c r="O37" i="14" s="1"/>
  <c r="AC44" i="14"/>
  <c r="S34" i="14"/>
  <c r="S96" i="14" s="1"/>
  <c r="AC49" i="14"/>
  <c r="AC138" i="14" s="1"/>
  <c r="AC147" i="14" s="1"/>
  <c r="X25" i="14"/>
  <c r="X28" i="14" s="1"/>
  <c r="AC26" i="14"/>
  <c r="AC29" i="14" s="1"/>
  <c r="I44" i="14"/>
  <c r="T50" i="14"/>
  <c r="S26" i="14"/>
  <c r="S29" i="14" s="1"/>
  <c r="X48" i="14"/>
  <c r="X137" i="14" s="1"/>
  <c r="X146" i="14" s="1"/>
  <c r="J33" i="14"/>
  <c r="J37" i="14" s="1"/>
  <c r="AA44" i="14"/>
  <c r="J49" i="14"/>
  <c r="J138" i="14" s="1"/>
  <c r="J147" i="14" s="1"/>
  <c r="X40" i="14"/>
  <c r="S49" i="14"/>
  <c r="S138" i="14" s="1"/>
  <c r="S147" i="14" s="1"/>
  <c r="Q50" i="14"/>
  <c r="M34" i="14"/>
  <c r="M96" i="14" s="1"/>
  <c r="AE44" i="14"/>
  <c r="R25" i="14"/>
  <c r="R26" i="14" s="1"/>
  <c r="R29" i="14" s="1"/>
  <c r="X43" i="14"/>
  <c r="X87" i="14" s="1"/>
  <c r="X88" i="14" s="1"/>
  <c r="X89" i="14" s="1"/>
  <c r="X90" i="14" s="1"/>
  <c r="L40" i="14"/>
  <c r="T49" i="14"/>
  <c r="T138" i="14" s="1"/>
  <c r="T147" i="14" s="1"/>
  <c r="R40" i="14"/>
  <c r="L44" i="14"/>
  <c r="O44" i="14"/>
  <c r="T26" i="14"/>
  <c r="T29" i="14" s="1"/>
  <c r="R44" i="14"/>
  <c r="AA25" i="14"/>
  <c r="AA28" i="14" s="1"/>
  <c r="L32" i="14"/>
  <c r="L33" i="14" s="1"/>
  <c r="L37" i="14" s="1"/>
  <c r="R48" i="14"/>
  <c r="R49" i="14" s="1"/>
  <c r="R138" i="14" s="1"/>
  <c r="R147" i="14" s="1"/>
  <c r="Z25" i="14"/>
  <c r="Z26" i="14" s="1"/>
  <c r="Z29" i="14" s="1"/>
  <c r="V33" i="14"/>
  <c r="V37" i="14" s="1"/>
  <c r="AA48" i="14"/>
  <c r="AA137" i="14" s="1"/>
  <c r="AA146" i="14" s="1"/>
  <c r="Z88" i="14"/>
  <c r="Z89" i="14" s="1"/>
  <c r="Z90" i="14" s="1"/>
  <c r="V34" i="14"/>
  <c r="V96" i="14" s="1"/>
  <c r="AC32" i="14"/>
  <c r="AC33" i="14" s="1"/>
  <c r="AC37" i="14" s="1"/>
  <c r="H25" i="14"/>
  <c r="H26" i="14" s="1"/>
  <c r="H29" i="14" s="1"/>
  <c r="Z40" i="14"/>
  <c r="AA40" i="14"/>
  <c r="Q33" i="14"/>
  <c r="Q37" i="14" s="1"/>
  <c r="Q26" i="14"/>
  <c r="Q29" i="14" s="1"/>
  <c r="M49" i="14"/>
  <c r="M138" i="14" s="1"/>
  <c r="M147" i="14" s="1"/>
  <c r="AC50" i="14"/>
  <c r="AD44" i="14"/>
  <c r="Q43" i="14"/>
  <c r="Q87" i="14" s="1"/>
  <c r="Q88" i="14" s="1"/>
  <c r="AB88" i="14"/>
  <c r="AB89" i="14" s="1"/>
  <c r="AB90" i="14" s="1"/>
  <c r="L43" i="14"/>
  <c r="L87" i="14" s="1"/>
  <c r="L88" i="14" s="1"/>
  <c r="L57" i="14" s="1"/>
  <c r="R113" i="14"/>
  <c r="R55" i="14" s="1"/>
  <c r="I43" i="14"/>
  <c r="I87" i="14" s="1"/>
  <c r="I88" i="14" s="1"/>
  <c r="I89" i="14" s="1"/>
  <c r="I90" i="14" s="1"/>
  <c r="T43" i="14"/>
  <c r="T87" i="14" s="1"/>
  <c r="T88" i="14" s="1"/>
  <c r="K113" i="14"/>
  <c r="K55" i="14" s="1"/>
  <c r="Z44" i="14"/>
  <c r="AE113" i="14"/>
  <c r="AE55" i="14" s="1"/>
  <c r="V66" i="14"/>
  <c r="V67" i="14" s="1"/>
  <c r="V68" i="14" s="1"/>
  <c r="V71" i="14" s="1"/>
  <c r="V72" i="14" s="1"/>
  <c r="K43" i="14"/>
  <c r="K87" i="14" s="1"/>
  <c r="K88" i="14" s="1"/>
  <c r="K89" i="14" s="1"/>
  <c r="K90" i="14" s="1"/>
  <c r="W43" i="14"/>
  <c r="W87" i="14" s="1"/>
  <c r="W88" i="14" s="1"/>
  <c r="W89" i="14" s="1"/>
  <c r="W90" i="14" s="1"/>
  <c r="AC66" i="14"/>
  <c r="AC67" i="14" s="1"/>
  <c r="AC68" i="14" s="1"/>
  <c r="Q66" i="14"/>
  <c r="Q67" i="14" s="1"/>
  <c r="Q68" i="14" s="1"/>
  <c r="O88" i="14"/>
  <c r="O89" i="14" s="1"/>
  <c r="O90" i="14" s="1"/>
  <c r="Q65" i="13"/>
  <c r="N113" i="14"/>
  <c r="N55" i="14" s="1"/>
  <c r="W113" i="14"/>
  <c r="W55" i="14" s="1"/>
  <c r="P44" i="14"/>
  <c r="H44" i="14"/>
  <c r="O113" i="14"/>
  <c r="O55" i="14" s="1"/>
  <c r="AA113" i="14"/>
  <c r="AA55" i="14" s="1"/>
  <c r="S113" i="14"/>
  <c r="S55" i="14" s="1"/>
  <c r="J43" i="14"/>
  <c r="J87" i="14" s="1"/>
  <c r="J88" i="14" s="1"/>
  <c r="N43" i="14"/>
  <c r="N87" i="14" s="1"/>
  <c r="N88" i="14" s="1"/>
  <c r="N89" i="14" s="1"/>
  <c r="N90" i="14" s="1"/>
  <c r="M44" i="14"/>
  <c r="V114" i="14"/>
  <c r="V115" i="14" s="1"/>
  <c r="V116" i="14" s="1"/>
  <c r="V117" i="14" s="1"/>
  <c r="V128" i="14" s="1"/>
  <c r="Y43" i="14"/>
  <c r="Y87" i="14" s="1"/>
  <c r="Y88" i="14" s="1"/>
  <c r="Y57" i="14" s="1"/>
  <c r="N66" i="14"/>
  <c r="N56" i="14" s="1"/>
  <c r="U44" i="14"/>
  <c r="Q113" i="14"/>
  <c r="Q55" i="14" s="1"/>
  <c r="X113" i="14"/>
  <c r="X55" i="14" s="1"/>
  <c r="AD43" i="14"/>
  <c r="AD87" i="14" s="1"/>
  <c r="AD88" i="14" s="1"/>
  <c r="S43" i="14"/>
  <c r="S87" i="14" s="1"/>
  <c r="S88" i="14" s="1"/>
  <c r="S89" i="14" s="1"/>
  <c r="S90" i="14" s="1"/>
  <c r="H87" i="14"/>
  <c r="H88" i="14" s="1"/>
  <c r="H57" i="14" s="1"/>
  <c r="AC113" i="14"/>
  <c r="AC55" i="14" s="1"/>
  <c r="L113" i="14"/>
  <c r="L55" i="14" s="1"/>
  <c r="Z113" i="14"/>
  <c r="Z55" i="14" s="1"/>
  <c r="AE36" i="14"/>
  <c r="I56" i="14"/>
  <c r="P87" i="14"/>
  <c r="P88" i="14" s="1"/>
  <c r="P57" i="14" s="1"/>
  <c r="AC28" i="14"/>
  <c r="W36" i="14"/>
  <c r="M137" i="14"/>
  <c r="M146" i="14" s="1"/>
  <c r="H36" i="14"/>
  <c r="J137" i="14"/>
  <c r="J146" i="14" s="1"/>
  <c r="I137" i="14"/>
  <c r="I146" i="14" s="1"/>
  <c r="U49" i="14"/>
  <c r="U138" i="14" s="1"/>
  <c r="U147" i="14" s="1"/>
  <c r="S28" i="14"/>
  <c r="K67" i="14"/>
  <c r="K68" i="14" s="1"/>
  <c r="K71" i="14" s="1"/>
  <c r="K72" i="14" s="1"/>
  <c r="V36" i="14"/>
  <c r="R87" i="14"/>
  <c r="R88" i="14" s="1"/>
  <c r="R57" i="14" s="1"/>
  <c r="AD33" i="14"/>
  <c r="AD37" i="14" s="1"/>
  <c r="U87" i="14"/>
  <c r="U88" i="14" s="1"/>
  <c r="U89" i="14" s="1"/>
  <c r="U90" i="14" s="1"/>
  <c r="W49" i="14"/>
  <c r="W138" i="14" s="1"/>
  <c r="W147" i="14" s="1"/>
  <c r="AC143" i="14"/>
  <c r="AC144" i="14" s="1"/>
  <c r="AC149" i="14" s="1"/>
  <c r="W26" i="14"/>
  <c r="W29" i="14" s="1"/>
  <c r="P26" i="14"/>
  <c r="P29" i="14" s="1"/>
  <c r="M143" i="14"/>
  <c r="M144" i="14" s="1"/>
  <c r="M149" i="14" s="1"/>
  <c r="AD143" i="14"/>
  <c r="AD144" i="14" s="1"/>
  <c r="AD149" i="14" s="1"/>
  <c r="Y36" i="14"/>
  <c r="V26" i="14"/>
  <c r="V29" i="14" s="1"/>
  <c r="AB143" i="14"/>
  <c r="AB144" i="14" s="1"/>
  <c r="AB149" i="14" s="1"/>
  <c r="AE137" i="14"/>
  <c r="AE146" i="14" s="1"/>
  <c r="V143" i="14"/>
  <c r="V144" i="14" s="1"/>
  <c r="V149" i="14" s="1"/>
  <c r="K143" i="14"/>
  <c r="K144" i="14" s="1"/>
  <c r="K149" i="14" s="1"/>
  <c r="P143" i="14"/>
  <c r="P144" i="14" s="1"/>
  <c r="P149" i="14" s="1"/>
  <c r="U36" i="14"/>
  <c r="AB137" i="14"/>
  <c r="AB146" i="14" s="1"/>
  <c r="J143" i="14"/>
  <c r="J144" i="14" s="1"/>
  <c r="J149" i="14" s="1"/>
  <c r="AC87" i="14"/>
  <c r="AC88" i="14" s="1"/>
  <c r="AC89" i="14" s="1"/>
  <c r="AC90" i="14" s="1"/>
  <c r="W143" i="14"/>
  <c r="W144" i="14" s="1"/>
  <c r="W149" i="14" s="1"/>
  <c r="Z143" i="14"/>
  <c r="Z144" i="14" s="1"/>
  <c r="Z149" i="14" s="1"/>
  <c r="AE143" i="14"/>
  <c r="AE144" i="14" s="1"/>
  <c r="AE149" i="14" s="1"/>
  <c r="X143" i="14"/>
  <c r="X144" i="14" s="1"/>
  <c r="X149" i="14" s="1"/>
  <c r="H143" i="14"/>
  <c r="H144" i="14" s="1"/>
  <c r="N143" i="14"/>
  <c r="N144" i="14" s="1"/>
  <c r="N149" i="14" s="1"/>
  <c r="T28" i="14"/>
  <c r="P137" i="14"/>
  <c r="P146" i="14" s="1"/>
  <c r="I36" i="14"/>
  <c r="Y143" i="14"/>
  <c r="Y144" i="14" s="1"/>
  <c r="Y149" i="14" s="1"/>
  <c r="L143" i="14"/>
  <c r="L144" i="14" s="1"/>
  <c r="L149" i="14" s="1"/>
  <c r="J26" i="14"/>
  <c r="J29" i="14" s="1"/>
  <c r="U143" i="14"/>
  <c r="U144" i="14" s="1"/>
  <c r="U149" i="14" s="1"/>
  <c r="I143" i="14"/>
  <c r="I144" i="14" s="1"/>
  <c r="I149" i="14" s="1"/>
  <c r="I113" i="14"/>
  <c r="I55" i="14" s="1"/>
  <c r="O143" i="14"/>
  <c r="O144" i="14" s="1"/>
  <c r="O149" i="14" s="1"/>
  <c r="P66" i="14"/>
  <c r="P67" i="14" s="1"/>
  <c r="P68" i="14" s="1"/>
  <c r="Y137" i="14"/>
  <c r="Y146" i="14" s="1"/>
  <c r="T143" i="14"/>
  <c r="T144" i="14" s="1"/>
  <c r="T149" i="14" s="1"/>
  <c r="K137" i="14"/>
  <c r="K146" i="14" s="1"/>
  <c r="AC137" i="14"/>
  <c r="AC146" i="14" s="1"/>
  <c r="S143" i="14"/>
  <c r="S144" i="14" s="1"/>
  <c r="S149" i="14" s="1"/>
  <c r="V49" i="14"/>
  <c r="V138" i="14" s="1"/>
  <c r="V147" i="14" s="1"/>
  <c r="U26" i="14"/>
  <c r="U29" i="14" s="1"/>
  <c r="H137" i="14"/>
  <c r="H146" i="14" s="1"/>
  <c r="Y28" i="14"/>
  <c r="Q36" i="14"/>
  <c r="R36" i="14"/>
  <c r="S36" i="14"/>
  <c r="M26" i="14"/>
  <c r="M29" i="14" s="1"/>
  <c r="M33" i="14"/>
  <c r="M37" i="14" s="1"/>
  <c r="M36" i="14"/>
  <c r="Q28" i="14"/>
  <c r="AA36" i="14"/>
  <c r="T33" i="14"/>
  <c r="T37" i="14" s="1"/>
  <c r="Q49" i="14"/>
  <c r="Q138" i="14" s="1"/>
  <c r="Q147" i="14" s="1"/>
  <c r="Q137" i="14"/>
  <c r="Q146" i="14" s="1"/>
  <c r="L137" i="14"/>
  <c r="L146" i="14" s="1"/>
  <c r="K33" i="14"/>
  <c r="K37" i="14" s="1"/>
  <c r="K36" i="14"/>
  <c r="T137" i="14"/>
  <c r="T146" i="14" s="1"/>
  <c r="AE28" i="14"/>
  <c r="AB26" i="14"/>
  <c r="AB29" i="14" s="1"/>
  <c r="J36" i="14"/>
  <c r="N137" i="14"/>
  <c r="N146" i="14" s="1"/>
  <c r="P36" i="14"/>
  <c r="AB36" i="14"/>
  <c r="X36" i="14"/>
  <c r="L66" i="14"/>
  <c r="L56" i="14" s="1"/>
  <c r="Z137" i="14"/>
  <c r="Z146" i="14" s="1"/>
  <c r="S137" i="14"/>
  <c r="S146" i="14" s="1"/>
  <c r="P138" i="14"/>
  <c r="P147" i="14" s="1"/>
  <c r="Y29" i="14"/>
  <c r="AA37" i="14"/>
  <c r="U37" i="14"/>
  <c r="AE138" i="14"/>
  <c r="AE147" i="14" s="1"/>
  <c r="L138" i="14"/>
  <c r="L147" i="14" s="1"/>
  <c r="I37" i="14"/>
  <c r="AA66" i="14"/>
  <c r="AA56" i="14" s="1"/>
  <c r="P37" i="14"/>
  <c r="K138" i="14"/>
  <c r="K147" i="14" s="1"/>
  <c r="AD67" i="14"/>
  <c r="AD68" i="14" s="1"/>
  <c r="AD56" i="14"/>
  <c r="R67" i="14"/>
  <c r="R68" i="14" s="1"/>
  <c r="R56" i="14"/>
  <c r="AE67" i="14"/>
  <c r="AE68" i="14" s="1"/>
  <c r="AE56" i="14"/>
  <c r="AD113" i="14"/>
  <c r="AD55" i="14" s="1"/>
  <c r="V87" i="14"/>
  <c r="V88" i="14" s="1"/>
  <c r="T112" i="14"/>
  <c r="T113" i="14" s="1"/>
  <c r="T55" i="14" s="1"/>
  <c r="T65" i="14"/>
  <c r="T66" i="14" s="1"/>
  <c r="AB113" i="14"/>
  <c r="AB55" i="14" s="1"/>
  <c r="J82" i="14"/>
  <c r="I69" i="14"/>
  <c r="I71" i="14"/>
  <c r="I72" i="14" s="1"/>
  <c r="P113" i="14"/>
  <c r="P55" i="14" s="1"/>
  <c r="W37" i="14"/>
  <c r="H59" i="13"/>
  <c r="Y112" i="14"/>
  <c r="Y113" i="14" s="1"/>
  <c r="Y55" i="14" s="1"/>
  <c r="Y65" i="14"/>
  <c r="Y66" i="14" s="1"/>
  <c r="O28" i="14"/>
  <c r="O29" i="14"/>
  <c r="AE37" i="14"/>
  <c r="AA87" i="14"/>
  <c r="AA88" i="14" s="1"/>
  <c r="O66" i="14"/>
  <c r="N59" i="13"/>
  <c r="H112" i="14"/>
  <c r="H113" i="14" s="1"/>
  <c r="H55" i="14" s="1"/>
  <c r="H65" i="14"/>
  <c r="H66" i="14" s="1"/>
  <c r="AB138" i="14"/>
  <c r="AB147" i="14" s="1"/>
  <c r="AE87" i="14"/>
  <c r="AE88" i="14" s="1"/>
  <c r="M112" i="14"/>
  <c r="M113" i="14" s="1"/>
  <c r="M55" i="14" s="1"/>
  <c r="M65" i="14"/>
  <c r="M66" i="14" s="1"/>
  <c r="I138" i="14"/>
  <c r="I147" i="14" s="1"/>
  <c r="Q59" i="13"/>
  <c r="K28" i="14"/>
  <c r="K82" i="14" s="1"/>
  <c r="K29" i="14"/>
  <c r="M89" i="14"/>
  <c r="M90" i="14" s="1"/>
  <c r="M57" i="14"/>
  <c r="AB66" i="14"/>
  <c r="Z66" i="14"/>
  <c r="U112" i="14"/>
  <c r="U113" i="14" s="1"/>
  <c r="U55" i="14" s="1"/>
  <c r="U65" i="14"/>
  <c r="U66" i="14" s="1"/>
  <c r="J113" i="14"/>
  <c r="J55" i="14" s="1"/>
  <c r="R37" i="14"/>
  <c r="I70" i="14" l="1"/>
  <c r="I78" i="14" s="1"/>
  <c r="I26" i="14"/>
  <c r="I29" i="14" s="1"/>
  <c r="J71" i="14"/>
  <c r="J72" i="14" s="1"/>
  <c r="J74" i="14" s="1"/>
  <c r="W67" i="14"/>
  <c r="W68" i="14" s="1"/>
  <c r="W69" i="14" s="1"/>
  <c r="W70" i="14" s="1"/>
  <c r="W78" i="14" s="1"/>
  <c r="R137" i="14"/>
  <c r="R146" i="14" s="1"/>
  <c r="X26" i="14"/>
  <c r="X29" i="14" s="1"/>
  <c r="AD49" i="14"/>
  <c r="AD138" i="14" s="1"/>
  <c r="AD147" i="14" s="1"/>
  <c r="N26" i="14"/>
  <c r="N29" i="14" s="1"/>
  <c r="N36" i="14"/>
  <c r="X67" i="14"/>
  <c r="X68" i="14" s="1"/>
  <c r="X71" i="14" s="1"/>
  <c r="X72" i="14" s="1"/>
  <c r="Z36" i="14"/>
  <c r="J56" i="14"/>
  <c r="R114" i="14"/>
  <c r="R115" i="14" s="1"/>
  <c r="R116" i="14" s="1"/>
  <c r="R117" i="14" s="1"/>
  <c r="R128" i="14" s="1"/>
  <c r="R28" i="14"/>
  <c r="AD26" i="14"/>
  <c r="AD29" i="14" s="1"/>
  <c r="S56" i="14"/>
  <c r="L36" i="14"/>
  <c r="Z28" i="14"/>
  <c r="Z57" i="14"/>
  <c r="X57" i="14"/>
  <c r="X59" i="14" s="1"/>
  <c r="X49" i="14"/>
  <c r="X138" i="14" s="1"/>
  <c r="X147" i="14" s="1"/>
  <c r="AB57" i="14"/>
  <c r="O137" i="14"/>
  <c r="O146" i="14" s="1"/>
  <c r="AC36" i="14"/>
  <c r="O36" i="14"/>
  <c r="L26" i="14"/>
  <c r="L29" i="14" s="1"/>
  <c r="AA26" i="14"/>
  <c r="AA29" i="14" s="1"/>
  <c r="H28" i="14"/>
  <c r="H82" i="14" s="1"/>
  <c r="O57" i="14"/>
  <c r="AA49" i="14"/>
  <c r="AA138" i="14" s="1"/>
  <c r="AA147" i="14" s="1"/>
  <c r="AC56" i="14"/>
  <c r="V69" i="14"/>
  <c r="V70" i="14" s="1"/>
  <c r="V78" i="14" s="1"/>
  <c r="W57" i="14"/>
  <c r="W59" i="14" s="1"/>
  <c r="W139" i="14" s="1"/>
  <c r="W148" i="14" s="1"/>
  <c r="W151" i="14" s="1"/>
  <c r="V56" i="13" s="1"/>
  <c r="K114" i="14"/>
  <c r="K115" i="14" s="1"/>
  <c r="K116" i="14" s="1"/>
  <c r="K117" i="14" s="1"/>
  <c r="K128" i="14" s="1"/>
  <c r="Q62" i="13"/>
  <c r="V56" i="14"/>
  <c r="Q56" i="14"/>
  <c r="AE114" i="14"/>
  <c r="AE115" i="14" s="1"/>
  <c r="AE116" i="14" s="1"/>
  <c r="AE117" i="14" s="1"/>
  <c r="AE128" i="14" s="1"/>
  <c r="W114" i="14"/>
  <c r="W115" i="14" s="1"/>
  <c r="W118" i="14" s="1"/>
  <c r="W119" i="14" s="1"/>
  <c r="W120" i="14" s="1"/>
  <c r="W129" i="14" s="1"/>
  <c r="N67" i="14"/>
  <c r="N68" i="14" s="1"/>
  <c r="N69" i="14" s="1"/>
  <c r="N70" i="14" s="1"/>
  <c r="N78" i="14" s="1"/>
  <c r="H89" i="14"/>
  <c r="H90" i="14" s="1"/>
  <c r="H91" i="14" s="1"/>
  <c r="H92" i="14" s="1"/>
  <c r="H102" i="14" s="1"/>
  <c r="L89" i="14"/>
  <c r="L90" i="14" s="1"/>
  <c r="L93" i="14" s="1"/>
  <c r="L94" i="14" s="1"/>
  <c r="K57" i="14"/>
  <c r="K59" i="14" s="1"/>
  <c r="K97" i="14" s="1"/>
  <c r="K104" i="14" s="1"/>
  <c r="P89" i="14"/>
  <c r="P90" i="14" s="1"/>
  <c r="P91" i="14" s="1"/>
  <c r="P92" i="14" s="1"/>
  <c r="P102" i="14" s="1"/>
  <c r="AA114" i="14"/>
  <c r="AA115" i="14" s="1"/>
  <c r="AA118" i="14" s="1"/>
  <c r="AA119" i="14" s="1"/>
  <c r="N114" i="14"/>
  <c r="N115" i="14" s="1"/>
  <c r="N116" i="14" s="1"/>
  <c r="N117" i="14" s="1"/>
  <c r="N128" i="14" s="1"/>
  <c r="S114" i="14"/>
  <c r="S115" i="14" s="1"/>
  <c r="S116" i="14" s="1"/>
  <c r="S117" i="14" s="1"/>
  <c r="S128" i="14" s="1"/>
  <c r="Q61" i="13"/>
  <c r="O114" i="14"/>
  <c r="O115" i="14" s="1"/>
  <c r="V118" i="14"/>
  <c r="V119" i="14" s="1"/>
  <c r="V120" i="14" s="1"/>
  <c r="V129" i="14" s="1"/>
  <c r="AC114" i="14"/>
  <c r="AC115" i="14" s="1"/>
  <c r="AB114" i="14"/>
  <c r="AB115" i="14" s="1"/>
  <c r="AB116" i="14" s="1"/>
  <c r="AB117" i="14" s="1"/>
  <c r="AB128" i="14" s="1"/>
  <c r="J114" i="14"/>
  <c r="J115" i="14" s="1"/>
  <c r="J116" i="14" s="1"/>
  <c r="J117" i="14" s="1"/>
  <c r="J128" i="14" s="1"/>
  <c r="U114" i="14"/>
  <c r="U115" i="14" s="1"/>
  <c r="U118" i="14" s="1"/>
  <c r="U119" i="14" s="1"/>
  <c r="H114" i="14"/>
  <c r="H115" i="14" s="1"/>
  <c r="H116" i="14" s="1"/>
  <c r="H117" i="14" s="1"/>
  <c r="H128" i="14" s="1"/>
  <c r="X114" i="14"/>
  <c r="X115" i="14" s="1"/>
  <c r="Y89" i="14"/>
  <c r="Y90" i="14" s="1"/>
  <c r="Y93" i="14" s="1"/>
  <c r="Y94" i="14" s="1"/>
  <c r="Q114" i="14"/>
  <c r="Q115" i="14" s="1"/>
  <c r="Y114" i="14"/>
  <c r="Y115" i="14" s="1"/>
  <c r="Y116" i="14" s="1"/>
  <c r="Y117" i="14" s="1"/>
  <c r="Y128" i="14" s="1"/>
  <c r="T114" i="14"/>
  <c r="T115" i="14" s="1"/>
  <c r="T118" i="14" s="1"/>
  <c r="T119" i="14" s="1"/>
  <c r="I114" i="14"/>
  <c r="I115" i="14" s="1"/>
  <c r="I116" i="14" s="1"/>
  <c r="I117" i="14" s="1"/>
  <c r="I128" i="14" s="1"/>
  <c r="AD114" i="14"/>
  <c r="AD115" i="14" s="1"/>
  <c r="AD116" i="14" s="1"/>
  <c r="AD117" i="14" s="1"/>
  <c r="AD128" i="14" s="1"/>
  <c r="Z114" i="14"/>
  <c r="Z115" i="14" s="1"/>
  <c r="K69" i="14"/>
  <c r="K70" i="14" s="1"/>
  <c r="K78" i="14" s="1"/>
  <c r="P114" i="14"/>
  <c r="P115" i="14" s="1"/>
  <c r="P118" i="14" s="1"/>
  <c r="P119" i="14" s="1"/>
  <c r="M114" i="14"/>
  <c r="M115" i="14" s="1"/>
  <c r="M116" i="14" s="1"/>
  <c r="M117" i="14" s="1"/>
  <c r="M128" i="14" s="1"/>
  <c r="L114" i="14"/>
  <c r="L115" i="14" s="1"/>
  <c r="P56" i="14"/>
  <c r="P59" i="14" s="1"/>
  <c r="P97" i="14" s="1"/>
  <c r="P104" i="14" s="1"/>
  <c r="I57" i="14"/>
  <c r="I59" i="14" s="1"/>
  <c r="I139" i="14" s="1"/>
  <c r="I148" i="14" s="1"/>
  <c r="I151" i="14" s="1"/>
  <c r="I56" i="13" s="1"/>
  <c r="S57" i="14"/>
  <c r="AA67" i="14"/>
  <c r="AA68" i="14" s="1"/>
  <c r="AA71" i="14" s="1"/>
  <c r="AA72" i="14" s="1"/>
  <c r="U57" i="14"/>
  <c r="AC57" i="14"/>
  <c r="R89" i="14"/>
  <c r="R90" i="14" s="1"/>
  <c r="R91" i="14" s="1"/>
  <c r="R92" i="14" s="1"/>
  <c r="R102" i="14" s="1"/>
  <c r="L59" i="14"/>
  <c r="L97" i="14" s="1"/>
  <c r="L104" i="14" s="1"/>
  <c r="Q64" i="13"/>
  <c r="H149" i="14"/>
  <c r="N57" i="14"/>
  <c r="N59" i="14" s="1"/>
  <c r="N97" i="14" s="1"/>
  <c r="N104" i="14" s="1"/>
  <c r="L67" i="14"/>
  <c r="L68" i="14" s="1"/>
  <c r="L69" i="14" s="1"/>
  <c r="L70" i="14" s="1"/>
  <c r="L78" i="14" s="1"/>
  <c r="U67" i="14"/>
  <c r="U68" i="14" s="1"/>
  <c r="U56" i="14"/>
  <c r="H67" i="14"/>
  <c r="H68" i="14" s="1"/>
  <c r="H56" i="14"/>
  <c r="AB67" i="14"/>
  <c r="AB68" i="14" s="1"/>
  <c r="AB56" i="14"/>
  <c r="V57" i="14"/>
  <c r="V89" i="14"/>
  <c r="V90" i="14" s="1"/>
  <c r="AA89" i="14"/>
  <c r="AA90" i="14" s="1"/>
  <c r="AA57" i="14"/>
  <c r="AA59" i="14" s="1"/>
  <c r="O91" i="14"/>
  <c r="O92" i="14" s="1"/>
  <c r="O102" i="14" s="1"/>
  <c r="O93" i="14"/>
  <c r="O94" i="14" s="1"/>
  <c r="AC69" i="14"/>
  <c r="AC70" i="14" s="1"/>
  <c r="AC78" i="14" s="1"/>
  <c r="AC71" i="14"/>
  <c r="AC72" i="14" s="1"/>
  <c r="S69" i="14"/>
  <c r="S70" i="14" s="1"/>
  <c r="S78" i="14" s="1"/>
  <c r="S71" i="14"/>
  <c r="S72" i="14" s="1"/>
  <c r="M91" i="14"/>
  <c r="M92" i="14" s="1"/>
  <c r="M102" i="14" s="1"/>
  <c r="M93" i="14"/>
  <c r="M94" i="14" s="1"/>
  <c r="O67" i="14"/>
  <c r="O68" i="14" s="1"/>
  <c r="O56" i="14"/>
  <c r="I91" i="14"/>
  <c r="I92" i="14" s="1"/>
  <c r="I102" i="14" s="1"/>
  <c r="I93" i="14"/>
  <c r="I94" i="14" s="1"/>
  <c r="P69" i="14"/>
  <c r="P70" i="14" s="1"/>
  <c r="P78" i="14" s="1"/>
  <c r="P71" i="14"/>
  <c r="P72" i="14" s="1"/>
  <c r="Y67" i="14"/>
  <c r="Y68" i="14" s="1"/>
  <c r="Y56" i="14"/>
  <c r="K73" i="14"/>
  <c r="K79" i="14" s="1"/>
  <c r="I74" i="14"/>
  <c r="I73" i="14"/>
  <c r="I79" i="14" s="1"/>
  <c r="U91" i="14"/>
  <c r="U92" i="14" s="1"/>
  <c r="U102" i="14" s="1"/>
  <c r="U93" i="14"/>
  <c r="U94" i="14" s="1"/>
  <c r="R59" i="14"/>
  <c r="R69" i="14"/>
  <c r="R70" i="14" s="1"/>
  <c r="R78" i="14" s="1"/>
  <c r="R71" i="14"/>
  <c r="R72" i="14" s="1"/>
  <c r="Z91" i="14"/>
  <c r="Z92" i="14" s="1"/>
  <c r="Z102" i="14" s="1"/>
  <c r="Z93" i="14"/>
  <c r="Z94" i="14" s="1"/>
  <c r="M56" i="14"/>
  <c r="M67" i="14"/>
  <c r="M68" i="14" s="1"/>
  <c r="Q89" i="14"/>
  <c r="Q90" i="14" s="1"/>
  <c r="Q57" i="14"/>
  <c r="N91" i="14"/>
  <c r="N92" i="14" s="1"/>
  <c r="N102" i="14" s="1"/>
  <c r="N93" i="14"/>
  <c r="N94" i="14" s="1"/>
  <c r="X91" i="14"/>
  <c r="X92" i="14" s="1"/>
  <c r="X102" i="14" s="1"/>
  <c r="X93" i="14"/>
  <c r="X94" i="14" s="1"/>
  <c r="J89" i="14"/>
  <c r="J90" i="14" s="1"/>
  <c r="J57" i="14"/>
  <c r="Z56" i="14"/>
  <c r="Z67" i="14"/>
  <c r="Z68" i="14" s="1"/>
  <c r="AC91" i="14"/>
  <c r="AC92" i="14" s="1"/>
  <c r="AC102" i="14" s="1"/>
  <c r="AC93" i="14"/>
  <c r="AC94" i="14" s="1"/>
  <c r="AD69" i="14"/>
  <c r="AD70" i="14" s="1"/>
  <c r="AD78" i="14" s="1"/>
  <c r="AD71" i="14"/>
  <c r="AD72" i="14" s="1"/>
  <c r="V73" i="14"/>
  <c r="V79" i="14" s="1"/>
  <c r="T57" i="14"/>
  <c r="T89" i="14"/>
  <c r="T90" i="14" s="1"/>
  <c r="AB91" i="14"/>
  <c r="AB92" i="14" s="1"/>
  <c r="AB102" i="14" s="1"/>
  <c r="AB93" i="14"/>
  <c r="AB94" i="14" s="1"/>
  <c r="W91" i="14"/>
  <c r="W92" i="14" s="1"/>
  <c r="W102" i="14" s="1"/>
  <c r="W93" i="14"/>
  <c r="W94" i="14" s="1"/>
  <c r="Q69" i="14"/>
  <c r="Q70" i="14" s="1"/>
  <c r="Q78" i="14" s="1"/>
  <c r="Q71" i="14"/>
  <c r="Q72" i="14" s="1"/>
  <c r="AD89" i="14"/>
  <c r="AD90" i="14" s="1"/>
  <c r="AD57" i="14"/>
  <c r="T67" i="14"/>
  <c r="T68" i="14" s="1"/>
  <c r="T56" i="14"/>
  <c r="AE69" i="14"/>
  <c r="AE70" i="14" s="1"/>
  <c r="AE78" i="14" s="1"/>
  <c r="AE71" i="14"/>
  <c r="AE72" i="14" s="1"/>
  <c r="AE89" i="14"/>
  <c r="AE90" i="14" s="1"/>
  <c r="AE57" i="14"/>
  <c r="AE59" i="14" s="1"/>
  <c r="S91" i="14"/>
  <c r="S92" i="14" s="1"/>
  <c r="S102" i="14" s="1"/>
  <c r="S93" i="14"/>
  <c r="S94" i="14" s="1"/>
  <c r="K91" i="14"/>
  <c r="K92" i="14" s="1"/>
  <c r="K102" i="14" s="1"/>
  <c r="K93" i="14"/>
  <c r="K94" i="14" s="1"/>
  <c r="X73" i="14" l="1"/>
  <c r="X79" i="14" s="1"/>
  <c r="J73" i="14"/>
  <c r="J79" i="14" s="1"/>
  <c r="R118" i="14"/>
  <c r="R119" i="14" s="1"/>
  <c r="R121" i="14" s="1"/>
  <c r="R122" i="14" s="1"/>
  <c r="R123" i="14" s="1"/>
  <c r="R130" i="14" s="1"/>
  <c r="X69" i="14"/>
  <c r="X70" i="14" s="1"/>
  <c r="X78" i="14" s="1"/>
  <c r="W71" i="14"/>
  <c r="W72" i="14" s="1"/>
  <c r="W74" i="14" s="1"/>
  <c r="S59" i="14"/>
  <c r="S139" i="14" s="1"/>
  <c r="S148" i="14" s="1"/>
  <c r="S151" i="14" s="1"/>
  <c r="Z59" i="14"/>
  <c r="Z139" i="14" s="1"/>
  <c r="Z148" i="14" s="1"/>
  <c r="Z151" i="14" s="1"/>
  <c r="Y56" i="13" s="1"/>
  <c r="AB59" i="14"/>
  <c r="AB97" i="14" s="1"/>
  <c r="AB104" i="14" s="1"/>
  <c r="O59" i="14"/>
  <c r="O97" i="14" s="1"/>
  <c r="O104" i="14" s="1"/>
  <c r="AA120" i="14"/>
  <c r="AA129" i="14" s="1"/>
  <c r="V74" i="14"/>
  <c r="V75" i="14" s="1"/>
  <c r="V76" i="14" s="1"/>
  <c r="V80" i="14" s="1"/>
  <c r="V81" i="14" s="1"/>
  <c r="U53" i="13" s="1"/>
  <c r="V59" i="14"/>
  <c r="V139" i="14" s="1"/>
  <c r="V148" i="14" s="1"/>
  <c r="V151" i="14" s="1"/>
  <c r="U56" i="13" s="1"/>
  <c r="K118" i="14"/>
  <c r="K119" i="14" s="1"/>
  <c r="K121" i="14" s="1"/>
  <c r="K122" i="14" s="1"/>
  <c r="K123" i="14" s="1"/>
  <c r="K130" i="14" s="1"/>
  <c r="H93" i="14"/>
  <c r="H94" i="14" s="1"/>
  <c r="H95" i="14" s="1"/>
  <c r="H103" i="14" s="1"/>
  <c r="L91" i="14"/>
  <c r="L92" i="14" s="1"/>
  <c r="L102" i="14" s="1"/>
  <c r="P93" i="14"/>
  <c r="P94" i="14" s="1"/>
  <c r="P98" i="14" s="1"/>
  <c r="X74" i="14"/>
  <c r="X75" i="14" s="1"/>
  <c r="X76" i="14" s="1"/>
  <c r="X80" i="14" s="1"/>
  <c r="AE118" i="14"/>
  <c r="AE119" i="14" s="1"/>
  <c r="AE120" i="14" s="1"/>
  <c r="AE129" i="14" s="1"/>
  <c r="W116" i="14"/>
  <c r="W117" i="14" s="1"/>
  <c r="W128" i="14" s="1"/>
  <c r="N71" i="14"/>
  <c r="N72" i="14" s="1"/>
  <c r="N73" i="14" s="1"/>
  <c r="N79" i="14" s="1"/>
  <c r="K139" i="14"/>
  <c r="K148" i="14" s="1"/>
  <c r="K151" i="14" s="1"/>
  <c r="K56" i="13" s="1"/>
  <c r="N118" i="14"/>
  <c r="N119" i="14" s="1"/>
  <c r="N120" i="14" s="1"/>
  <c r="N129" i="14" s="1"/>
  <c r="AA116" i="14"/>
  <c r="AA117" i="14" s="1"/>
  <c r="AA128" i="14" s="1"/>
  <c r="V121" i="14"/>
  <c r="V122" i="14" s="1"/>
  <c r="V123" i="14" s="1"/>
  <c r="V130" i="14" s="1"/>
  <c r="S118" i="14"/>
  <c r="S119" i="14" s="1"/>
  <c r="S121" i="14" s="1"/>
  <c r="S122" i="14" s="1"/>
  <c r="S123" i="14" s="1"/>
  <c r="S130" i="14" s="1"/>
  <c r="W97" i="14"/>
  <c r="W104" i="14" s="1"/>
  <c r="T116" i="14"/>
  <c r="T117" i="14" s="1"/>
  <c r="T128" i="14" s="1"/>
  <c r="AA69" i="14"/>
  <c r="AA70" i="14" s="1"/>
  <c r="AA78" i="14" s="1"/>
  <c r="Y118" i="14"/>
  <c r="Y119" i="14" s="1"/>
  <c r="Y121" i="14" s="1"/>
  <c r="Y122" i="14" s="1"/>
  <c r="P116" i="14"/>
  <c r="P117" i="14" s="1"/>
  <c r="P128" i="14" s="1"/>
  <c r="AB118" i="14"/>
  <c r="AB119" i="14" s="1"/>
  <c r="AB121" i="14" s="1"/>
  <c r="AB122" i="14" s="1"/>
  <c r="J118" i="14"/>
  <c r="J119" i="14" s="1"/>
  <c r="J121" i="14" s="1"/>
  <c r="J122" i="14" s="1"/>
  <c r="K74" i="14"/>
  <c r="K75" i="14" s="1"/>
  <c r="K76" i="14" s="1"/>
  <c r="K80" i="14" s="1"/>
  <c r="K81" i="14" s="1"/>
  <c r="K53" i="13" s="1"/>
  <c r="H59" i="14"/>
  <c r="H139" i="14" s="1"/>
  <c r="H148" i="14" s="1"/>
  <c r="Y91" i="14"/>
  <c r="Y92" i="14" s="1"/>
  <c r="Y102" i="14" s="1"/>
  <c r="R120" i="14"/>
  <c r="R129" i="14" s="1"/>
  <c r="H118" i="14"/>
  <c r="H119" i="14" s="1"/>
  <c r="H120" i="14" s="1"/>
  <c r="H129" i="14" s="1"/>
  <c r="AC59" i="14"/>
  <c r="AC97" i="14" s="1"/>
  <c r="AC104" i="14" s="1"/>
  <c r="U116" i="14"/>
  <c r="U117" i="14" s="1"/>
  <c r="U128" i="14" s="1"/>
  <c r="Y59" i="14"/>
  <c r="Y97" i="14" s="1"/>
  <c r="Y104" i="14" s="1"/>
  <c r="O116" i="14"/>
  <c r="O117" i="14" s="1"/>
  <c r="O128" i="14" s="1"/>
  <c r="O118" i="14"/>
  <c r="O119" i="14" s="1"/>
  <c r="X97" i="14"/>
  <c r="X104" i="14" s="1"/>
  <c r="X139" i="14"/>
  <c r="X148" i="14" s="1"/>
  <c r="X151" i="14" s="1"/>
  <c r="W56" i="13" s="1"/>
  <c r="X116" i="14"/>
  <c r="X117" i="14" s="1"/>
  <c r="X128" i="14" s="1"/>
  <c r="X118" i="14"/>
  <c r="X119" i="14" s="1"/>
  <c r="M59" i="14"/>
  <c r="M97" i="14" s="1"/>
  <c r="M104" i="14" s="1"/>
  <c r="L116" i="14"/>
  <c r="L117" i="14" s="1"/>
  <c r="L128" i="14" s="1"/>
  <c r="L118" i="14"/>
  <c r="L119" i="14" s="1"/>
  <c r="J59" i="14"/>
  <c r="J97" i="14" s="1"/>
  <c r="J104" i="14" s="1"/>
  <c r="M118" i="14"/>
  <c r="M119" i="14" s="1"/>
  <c r="M120" i="14" s="1"/>
  <c r="M129" i="14" s="1"/>
  <c r="Q116" i="14"/>
  <c r="Q117" i="14" s="1"/>
  <c r="Q128" i="14" s="1"/>
  <c r="Q118" i="14"/>
  <c r="Q119" i="14" s="1"/>
  <c r="AD118" i="14"/>
  <c r="AD119" i="14" s="1"/>
  <c r="AD120" i="14" s="1"/>
  <c r="AD129" i="14" s="1"/>
  <c r="AD59" i="14"/>
  <c r="AD139" i="14" s="1"/>
  <c r="AD148" i="14" s="1"/>
  <c r="AD151" i="14" s="1"/>
  <c r="AC56" i="13" s="1"/>
  <c r="Q59" i="14"/>
  <c r="Q139" i="14" s="1"/>
  <c r="Q148" i="14" s="1"/>
  <c r="Q151" i="14" s="1"/>
  <c r="Q56" i="13" s="1"/>
  <c r="I118" i="14"/>
  <c r="I119" i="14" s="1"/>
  <c r="I120" i="14" s="1"/>
  <c r="I129" i="14" s="1"/>
  <c r="Z118" i="14"/>
  <c r="Z119" i="14" s="1"/>
  <c r="Z116" i="14"/>
  <c r="Z117" i="14" s="1"/>
  <c r="Z128" i="14" s="1"/>
  <c r="AC116" i="14"/>
  <c r="AC117" i="14" s="1"/>
  <c r="AC128" i="14" s="1"/>
  <c r="AC118" i="14"/>
  <c r="AC119" i="14" s="1"/>
  <c r="I97" i="14"/>
  <c r="I104" i="14" s="1"/>
  <c r="U59" i="14"/>
  <c r="U139" i="14" s="1"/>
  <c r="U148" i="14" s="1"/>
  <c r="U151" i="14" s="1"/>
  <c r="T56" i="13" s="1"/>
  <c r="L71" i="14"/>
  <c r="L72" i="14" s="1"/>
  <c r="L73" i="14" s="1"/>
  <c r="L79" i="14" s="1"/>
  <c r="R93" i="14"/>
  <c r="R94" i="14" s="1"/>
  <c r="R98" i="14" s="1"/>
  <c r="L139" i="14"/>
  <c r="L148" i="14" s="1"/>
  <c r="L151" i="14" s="1"/>
  <c r="L56" i="13" s="1"/>
  <c r="N139" i="14"/>
  <c r="N148" i="14" s="1"/>
  <c r="N151" i="14" s="1"/>
  <c r="N56" i="13" s="1"/>
  <c r="S97" i="14"/>
  <c r="S104" i="14" s="1"/>
  <c r="P139" i="14"/>
  <c r="P148" i="14" s="1"/>
  <c r="P151" i="14" s="1"/>
  <c r="P56" i="13" s="1"/>
  <c r="I75" i="14"/>
  <c r="I76" i="14" s="1"/>
  <c r="I80" i="14" s="1"/>
  <c r="I81" i="14" s="1"/>
  <c r="I53" i="13" s="1"/>
  <c r="T59" i="14"/>
  <c r="T97" i="14" s="1"/>
  <c r="T104" i="14" s="1"/>
  <c r="W75" i="14"/>
  <c r="W76" i="14" s="1"/>
  <c r="W80" i="14" s="1"/>
  <c r="J75" i="14"/>
  <c r="J76" i="14" s="1"/>
  <c r="J80" i="14" s="1"/>
  <c r="AE139" i="14"/>
  <c r="AE148" i="14" s="1"/>
  <c r="AE151" i="14" s="1"/>
  <c r="AD56" i="13" s="1"/>
  <c r="AE97" i="14"/>
  <c r="AE104" i="14" s="1"/>
  <c r="AA97" i="14"/>
  <c r="AA104" i="14" s="1"/>
  <c r="AA139" i="14"/>
  <c r="AA148" i="14" s="1"/>
  <c r="AA151" i="14" s="1"/>
  <c r="Z56" i="13" s="1"/>
  <c r="AE74" i="14"/>
  <c r="AE73" i="14"/>
  <c r="AE79" i="14" s="1"/>
  <c r="AE91" i="14"/>
  <c r="AE92" i="14" s="1"/>
  <c r="AE102" i="14" s="1"/>
  <c r="AE93" i="14"/>
  <c r="AE94" i="14" s="1"/>
  <c r="P120" i="14"/>
  <c r="P129" i="14" s="1"/>
  <c r="AC74" i="14"/>
  <c r="AC73" i="14"/>
  <c r="AC79" i="14" s="1"/>
  <c r="T69" i="14"/>
  <c r="T70" i="14" s="1"/>
  <c r="T78" i="14" s="1"/>
  <c r="T71" i="14"/>
  <c r="T72" i="14" s="1"/>
  <c r="W98" i="14"/>
  <c r="W95" i="14"/>
  <c r="W103" i="14" s="1"/>
  <c r="Z69" i="14"/>
  <c r="Z70" i="14" s="1"/>
  <c r="Z78" i="14" s="1"/>
  <c r="Z71" i="14"/>
  <c r="Z72" i="14" s="1"/>
  <c r="AA73" i="14"/>
  <c r="AA79" i="14" s="1"/>
  <c r="R139" i="14"/>
  <c r="R148" i="14" s="1"/>
  <c r="R151" i="14" s="1"/>
  <c r="R56" i="13" s="1"/>
  <c r="R97" i="14"/>
  <c r="R104" i="14" s="1"/>
  <c r="V91" i="14"/>
  <c r="V92" i="14" s="1"/>
  <c r="V102" i="14" s="1"/>
  <c r="V93" i="14"/>
  <c r="V94" i="14" s="1"/>
  <c r="Z97" i="14"/>
  <c r="Z104" i="14" s="1"/>
  <c r="U98" i="14"/>
  <c r="U95" i="14"/>
  <c r="U103" i="14" s="1"/>
  <c r="L95" i="14"/>
  <c r="L103" i="14" s="1"/>
  <c r="N60" i="13"/>
  <c r="K60" i="13"/>
  <c r="R74" i="14"/>
  <c r="R73" i="14"/>
  <c r="R79" i="14" s="1"/>
  <c r="Y71" i="14"/>
  <c r="Y72" i="14" s="1"/>
  <c r="Y69" i="14"/>
  <c r="Y70" i="14" s="1"/>
  <c r="Y78" i="14" s="1"/>
  <c r="O69" i="14"/>
  <c r="O70" i="14" s="1"/>
  <c r="O78" i="14" s="1"/>
  <c r="O71" i="14"/>
  <c r="O72" i="14" s="1"/>
  <c r="K98" i="14"/>
  <c r="K95" i="14"/>
  <c r="K103" i="14" s="1"/>
  <c r="AD91" i="14"/>
  <c r="AD92" i="14" s="1"/>
  <c r="AD102" i="14" s="1"/>
  <c r="AD93" i="14"/>
  <c r="AD94" i="14" s="1"/>
  <c r="T91" i="14"/>
  <c r="T92" i="14" s="1"/>
  <c r="T102" i="14" s="1"/>
  <c r="T93" i="14"/>
  <c r="T94" i="14" s="1"/>
  <c r="AD74" i="14"/>
  <c r="AD73" i="14"/>
  <c r="AD79" i="14" s="1"/>
  <c r="J91" i="14"/>
  <c r="J92" i="14" s="1"/>
  <c r="J102" i="14" s="1"/>
  <c r="J93" i="14"/>
  <c r="J94" i="14" s="1"/>
  <c r="O98" i="14"/>
  <c r="O95" i="14"/>
  <c r="O103" i="14" s="1"/>
  <c r="H69" i="14"/>
  <c r="H70" i="14" s="1"/>
  <c r="H78" i="14" s="1"/>
  <c r="H71" i="14"/>
  <c r="H72" i="14" s="1"/>
  <c r="Q74" i="14"/>
  <c r="Q73" i="14"/>
  <c r="Q79" i="14" s="1"/>
  <c r="T120" i="14"/>
  <c r="T129" i="14" s="1"/>
  <c r="N98" i="14"/>
  <c r="N95" i="14"/>
  <c r="N103" i="14" s="1"/>
  <c r="AA91" i="14"/>
  <c r="AA92" i="14" s="1"/>
  <c r="AA102" i="14" s="1"/>
  <c r="AA93" i="14"/>
  <c r="AA94" i="14" s="1"/>
  <c r="S98" i="14"/>
  <c r="S95" i="14"/>
  <c r="S103" i="14" s="1"/>
  <c r="AC98" i="14"/>
  <c r="AC95" i="14"/>
  <c r="AC103" i="14" s="1"/>
  <c r="P74" i="14"/>
  <c r="P73" i="14"/>
  <c r="P79" i="14" s="1"/>
  <c r="AB69" i="14"/>
  <c r="AB70" i="14" s="1"/>
  <c r="AB78" i="14" s="1"/>
  <c r="AB71" i="14"/>
  <c r="AB72" i="14" s="1"/>
  <c r="Z98" i="14"/>
  <c r="Z95" i="14"/>
  <c r="Z103" i="14" s="1"/>
  <c r="AB98" i="14"/>
  <c r="AB95" i="14"/>
  <c r="AB103" i="14" s="1"/>
  <c r="U69" i="14"/>
  <c r="U70" i="14" s="1"/>
  <c r="U78" i="14" s="1"/>
  <c r="U71" i="14"/>
  <c r="U72" i="14" s="1"/>
  <c r="S74" i="14"/>
  <c r="S73" i="14"/>
  <c r="S79" i="14" s="1"/>
  <c r="Y95" i="14"/>
  <c r="Y103" i="14" s="1"/>
  <c r="Q91" i="14"/>
  <c r="Q92" i="14" s="1"/>
  <c r="Q102" i="14" s="1"/>
  <c r="Q93" i="14"/>
  <c r="Q94" i="14" s="1"/>
  <c r="I98" i="14"/>
  <c r="I95" i="14"/>
  <c r="I103" i="14" s="1"/>
  <c r="M98" i="14"/>
  <c r="M95" i="14"/>
  <c r="M103" i="14" s="1"/>
  <c r="X95" i="14"/>
  <c r="X103" i="14" s="1"/>
  <c r="X98" i="14"/>
  <c r="M69" i="14"/>
  <c r="M70" i="14" s="1"/>
  <c r="M78" i="14" s="1"/>
  <c r="M71" i="14"/>
  <c r="M72" i="14" s="1"/>
  <c r="U120" i="14"/>
  <c r="U129" i="14" s="1"/>
  <c r="J81" i="14" l="1"/>
  <c r="J53" i="13" s="1"/>
  <c r="R124" i="14"/>
  <c r="X81" i="14"/>
  <c r="W53" i="13" s="1"/>
  <c r="V97" i="14"/>
  <c r="V104" i="14" s="1"/>
  <c r="W73" i="14"/>
  <c r="W79" i="14" s="1"/>
  <c r="O139" i="14"/>
  <c r="O148" i="14" s="1"/>
  <c r="O151" i="14" s="1"/>
  <c r="O56" i="13" s="1"/>
  <c r="AB139" i="14"/>
  <c r="AB148" i="14" s="1"/>
  <c r="AB151" i="14" s="1"/>
  <c r="AA56" i="13" s="1"/>
  <c r="K124" i="14"/>
  <c r="K125" i="14" s="1"/>
  <c r="K126" i="14" s="1"/>
  <c r="K131" i="14" s="1"/>
  <c r="K120" i="14"/>
  <c r="K129" i="14" s="1"/>
  <c r="N74" i="14"/>
  <c r="N75" i="14" s="1"/>
  <c r="N76" i="14" s="1"/>
  <c r="N80" i="14" s="1"/>
  <c r="N81" i="14" s="1"/>
  <c r="N53" i="13" s="1"/>
  <c r="H98" i="14"/>
  <c r="H99" i="14" s="1"/>
  <c r="H100" i="14" s="1"/>
  <c r="H105" i="14" s="1"/>
  <c r="P95" i="14"/>
  <c r="P103" i="14" s="1"/>
  <c r="L98" i="14"/>
  <c r="L99" i="14" s="1"/>
  <c r="L100" i="14" s="1"/>
  <c r="L105" i="14" s="1"/>
  <c r="L106" i="14" s="1"/>
  <c r="L54" i="13" s="1"/>
  <c r="W121" i="14"/>
  <c r="W122" i="14" s="1"/>
  <c r="W123" i="14" s="1"/>
  <c r="W130" i="14" s="1"/>
  <c r="AE121" i="14"/>
  <c r="AE122" i="14" s="1"/>
  <c r="AE123" i="14" s="1"/>
  <c r="AE130" i="14" s="1"/>
  <c r="N121" i="14"/>
  <c r="N122" i="14" s="1"/>
  <c r="N123" i="14" s="1"/>
  <c r="N130" i="14" s="1"/>
  <c r="V124" i="14"/>
  <c r="V125" i="14" s="1"/>
  <c r="V126" i="14" s="1"/>
  <c r="V131" i="14" s="1"/>
  <c r="V132" i="14" s="1"/>
  <c r="U55" i="13" s="1"/>
  <c r="AA121" i="14"/>
  <c r="AA122" i="14" s="1"/>
  <c r="AA123" i="14" s="1"/>
  <c r="AA130" i="14" s="1"/>
  <c r="S120" i="14"/>
  <c r="S129" i="14" s="1"/>
  <c r="P121" i="14"/>
  <c r="P122" i="14" s="1"/>
  <c r="P123" i="14" s="1"/>
  <c r="P130" i="14" s="1"/>
  <c r="AA74" i="14"/>
  <c r="AA75" i="14" s="1"/>
  <c r="AA76" i="14" s="1"/>
  <c r="AA80" i="14" s="1"/>
  <c r="AA81" i="14" s="1"/>
  <c r="Z53" i="13" s="1"/>
  <c r="S124" i="14"/>
  <c r="S125" i="14" s="1"/>
  <c r="S126" i="14" s="1"/>
  <c r="S131" i="14" s="1"/>
  <c r="Y120" i="14"/>
  <c r="Y129" i="14" s="1"/>
  <c r="AB120" i="14"/>
  <c r="AB129" i="14" s="1"/>
  <c r="AD121" i="14"/>
  <c r="AD122" i="14" s="1"/>
  <c r="AD123" i="14" s="1"/>
  <c r="AD130" i="14" s="1"/>
  <c r="T121" i="14"/>
  <c r="T122" i="14" s="1"/>
  <c r="T123" i="14" s="1"/>
  <c r="T130" i="14" s="1"/>
  <c r="Y98" i="14"/>
  <c r="Y99" i="14" s="1"/>
  <c r="Y100" i="14" s="1"/>
  <c r="Y105" i="14" s="1"/>
  <c r="Y106" i="14" s="1"/>
  <c r="X54" i="13" s="1"/>
  <c r="J120" i="14"/>
  <c r="J129" i="14" s="1"/>
  <c r="K61" i="13"/>
  <c r="R95" i="14"/>
  <c r="R103" i="14" s="1"/>
  <c r="U121" i="14"/>
  <c r="U122" i="14" s="1"/>
  <c r="U123" i="14" s="1"/>
  <c r="U130" i="14" s="1"/>
  <c r="H97" i="14"/>
  <c r="H104" i="14" s="1"/>
  <c r="K62" i="13" s="1"/>
  <c r="M139" i="14"/>
  <c r="M148" i="14" s="1"/>
  <c r="M151" i="14" s="1"/>
  <c r="M56" i="13" s="1"/>
  <c r="Y139" i="14"/>
  <c r="Y148" i="14" s="1"/>
  <c r="Y151" i="14" s="1"/>
  <c r="X56" i="13" s="1"/>
  <c r="AD97" i="14"/>
  <c r="AD104" i="14" s="1"/>
  <c r="AC139" i="14"/>
  <c r="AC148" i="14" s="1"/>
  <c r="AC151" i="14" s="1"/>
  <c r="AB56" i="13" s="1"/>
  <c r="J139" i="14"/>
  <c r="J148" i="14" s="1"/>
  <c r="J151" i="14" s="1"/>
  <c r="J56" i="13" s="1"/>
  <c r="H121" i="14"/>
  <c r="H122" i="14" s="1"/>
  <c r="H123" i="14" s="1"/>
  <c r="H130" i="14" s="1"/>
  <c r="O121" i="14"/>
  <c r="O120" i="14"/>
  <c r="O129" i="14" s="1"/>
  <c r="N61" i="13" s="1"/>
  <c r="I121" i="14"/>
  <c r="I122" i="14" s="1"/>
  <c r="I123" i="14" s="1"/>
  <c r="I130" i="14" s="1"/>
  <c r="W81" i="14"/>
  <c r="V53" i="13" s="1"/>
  <c r="Q121" i="14"/>
  <c r="Q120" i="14"/>
  <c r="Q129" i="14" s="1"/>
  <c r="AC120" i="14"/>
  <c r="AC129" i="14" s="1"/>
  <c r="AC121" i="14"/>
  <c r="M121" i="14"/>
  <c r="M122" i="14" s="1"/>
  <c r="M123" i="14" s="1"/>
  <c r="M130" i="14" s="1"/>
  <c r="L120" i="14"/>
  <c r="L129" i="14" s="1"/>
  <c r="L121" i="14"/>
  <c r="L74" i="14"/>
  <c r="L75" i="14" s="1"/>
  <c r="L76" i="14" s="1"/>
  <c r="L80" i="14" s="1"/>
  <c r="L81" i="14" s="1"/>
  <c r="L53" i="13" s="1"/>
  <c r="Q97" i="14"/>
  <c r="Q104" i="14" s="1"/>
  <c r="Z121" i="14"/>
  <c r="Z120" i="14"/>
  <c r="Z129" i="14" s="1"/>
  <c r="X120" i="14"/>
  <c r="X129" i="14" s="1"/>
  <c r="X121" i="14"/>
  <c r="U97" i="14"/>
  <c r="U104" i="14" s="1"/>
  <c r="T139" i="14"/>
  <c r="T148" i="14" s="1"/>
  <c r="T151" i="14" s="1"/>
  <c r="S56" i="13" s="1"/>
  <c r="X99" i="14"/>
  <c r="X100" i="14" s="1"/>
  <c r="X105" i="14" s="1"/>
  <c r="X106" i="14" s="1"/>
  <c r="W54" i="13" s="1"/>
  <c r="AC99" i="14"/>
  <c r="AC100" i="14" s="1"/>
  <c r="AC105" i="14" s="1"/>
  <c r="AC106" i="14" s="1"/>
  <c r="AB54" i="13" s="1"/>
  <c r="Q75" i="14"/>
  <c r="Q76" i="14" s="1"/>
  <c r="Q80" i="14" s="1"/>
  <c r="Q81" i="14" s="1"/>
  <c r="Q53" i="13" s="1"/>
  <c r="U99" i="14"/>
  <c r="U100" i="14" s="1"/>
  <c r="U105" i="14" s="1"/>
  <c r="W99" i="14"/>
  <c r="W100" i="14" s="1"/>
  <c r="W105" i="14" s="1"/>
  <c r="W106" i="14" s="1"/>
  <c r="V54" i="13" s="1"/>
  <c r="S99" i="14"/>
  <c r="S100" i="14" s="1"/>
  <c r="S105" i="14" s="1"/>
  <c r="S106" i="14" s="1"/>
  <c r="AD75" i="14"/>
  <c r="AD76" i="14" s="1"/>
  <c r="AD80" i="14" s="1"/>
  <c r="AD81" i="14" s="1"/>
  <c r="AC53" i="13" s="1"/>
  <c r="R125" i="14"/>
  <c r="R126" i="14" s="1"/>
  <c r="R131" i="14" s="1"/>
  <c r="R132" i="14" s="1"/>
  <c r="R55" i="13" s="1"/>
  <c r="AB99" i="14"/>
  <c r="AB100" i="14" s="1"/>
  <c r="AB105" i="14" s="1"/>
  <c r="AB106" i="14" s="1"/>
  <c r="AA54" i="13" s="1"/>
  <c r="O99" i="14"/>
  <c r="O100" i="14" s="1"/>
  <c r="O105" i="14" s="1"/>
  <c r="O106" i="14" s="1"/>
  <c r="O54" i="13" s="1"/>
  <c r="P75" i="14"/>
  <c r="P76" i="14" s="1"/>
  <c r="P80" i="14" s="1"/>
  <c r="P81" i="14" s="1"/>
  <c r="P53" i="13" s="1"/>
  <c r="N99" i="14"/>
  <c r="N100" i="14" s="1"/>
  <c r="N105" i="14" s="1"/>
  <c r="N106" i="14" s="1"/>
  <c r="N54" i="13" s="1"/>
  <c r="M99" i="14"/>
  <c r="M100" i="14" s="1"/>
  <c r="M105" i="14" s="1"/>
  <c r="M106" i="14" s="1"/>
  <c r="M54" i="13" s="1"/>
  <c r="R99" i="14"/>
  <c r="R100" i="14" s="1"/>
  <c r="R105" i="14" s="1"/>
  <c r="S75" i="14"/>
  <c r="S76" i="14" s="1"/>
  <c r="S80" i="14" s="1"/>
  <c r="S81" i="14" s="1"/>
  <c r="R75" i="14"/>
  <c r="R76" i="14" s="1"/>
  <c r="R80" i="14" s="1"/>
  <c r="R81" i="14" s="1"/>
  <c r="R53" i="13" s="1"/>
  <c r="P99" i="14"/>
  <c r="P100" i="14" s="1"/>
  <c r="P105" i="14" s="1"/>
  <c r="I99" i="14"/>
  <c r="I100" i="14" s="1"/>
  <c r="I105" i="14" s="1"/>
  <c r="I106" i="14" s="1"/>
  <c r="I54" i="13" s="1"/>
  <c r="Z99" i="14"/>
  <c r="Z100" i="14" s="1"/>
  <c r="Z105" i="14" s="1"/>
  <c r="Z106" i="14" s="1"/>
  <c r="Y54" i="13" s="1"/>
  <c r="K99" i="14"/>
  <c r="K100" i="14" s="1"/>
  <c r="K105" i="14" s="1"/>
  <c r="K106" i="14" s="1"/>
  <c r="K54" i="13" s="1"/>
  <c r="AC75" i="14"/>
  <c r="AC76" i="14" s="1"/>
  <c r="AC80" i="14" s="1"/>
  <c r="AC81" i="14" s="1"/>
  <c r="AB53" i="13" s="1"/>
  <c r="AE75" i="14"/>
  <c r="AE76" i="14" s="1"/>
  <c r="AE80" i="14" s="1"/>
  <c r="AE81" i="14" s="1"/>
  <c r="AD53" i="13" s="1"/>
  <c r="AB124" i="14"/>
  <c r="AB123" i="14"/>
  <c r="AB130" i="14" s="1"/>
  <c r="T98" i="14"/>
  <c r="T95" i="14"/>
  <c r="T103" i="14" s="1"/>
  <c r="J124" i="14"/>
  <c r="J123" i="14"/>
  <c r="J130" i="14" s="1"/>
  <c r="Q63" i="13"/>
  <c r="Q60" i="13" s="1"/>
  <c r="H151" i="14"/>
  <c r="AE98" i="14"/>
  <c r="AE95" i="14"/>
  <c r="AE103" i="14" s="1"/>
  <c r="AD98" i="14"/>
  <c r="AD95" i="14"/>
  <c r="AD103" i="14" s="1"/>
  <c r="H60" i="13"/>
  <c r="AB74" i="14"/>
  <c r="AB73" i="14"/>
  <c r="AB79" i="14" s="1"/>
  <c r="Z74" i="14"/>
  <c r="Z73" i="14"/>
  <c r="Z79" i="14" s="1"/>
  <c r="Y73" i="14"/>
  <c r="Y79" i="14" s="1"/>
  <c r="Y74" i="14"/>
  <c r="Y123" i="14"/>
  <c r="Y130" i="14" s="1"/>
  <c r="Y124" i="14"/>
  <c r="M73" i="14"/>
  <c r="M79" i="14" s="1"/>
  <c r="M74" i="14"/>
  <c r="V98" i="14"/>
  <c r="V95" i="14"/>
  <c r="V103" i="14" s="1"/>
  <c r="AA98" i="14"/>
  <c r="AA95" i="14"/>
  <c r="AA103" i="14" s="1"/>
  <c r="J95" i="14"/>
  <c r="J103" i="14" s="1"/>
  <c r="J98" i="14"/>
  <c r="O74" i="14"/>
  <c r="O73" i="14"/>
  <c r="O79" i="14" s="1"/>
  <c r="T74" i="14"/>
  <c r="T73" i="14"/>
  <c r="T79" i="14" s="1"/>
  <c r="Q98" i="14"/>
  <c r="Q95" i="14"/>
  <c r="Q103" i="14" s="1"/>
  <c r="U74" i="14"/>
  <c r="U73" i="14"/>
  <c r="U79" i="14" s="1"/>
  <c r="H74" i="14"/>
  <c r="H73" i="14"/>
  <c r="H79" i="14" s="1"/>
  <c r="W124" i="14" l="1"/>
  <c r="W125" i="14" s="1"/>
  <c r="W126" i="14" s="1"/>
  <c r="W131" i="14" s="1"/>
  <c r="W132" i="14" s="1"/>
  <c r="V55" i="13" s="1"/>
  <c r="P106" i="14"/>
  <c r="P54" i="13" s="1"/>
  <c r="K132" i="14"/>
  <c r="K55" i="13" s="1"/>
  <c r="AE124" i="14"/>
  <c r="AE125" i="14" s="1"/>
  <c r="AE126" i="14" s="1"/>
  <c r="AE131" i="14" s="1"/>
  <c r="AE132" i="14" s="1"/>
  <c r="AD55" i="13" s="1"/>
  <c r="N124" i="14"/>
  <c r="N125" i="14" s="1"/>
  <c r="N126" i="14" s="1"/>
  <c r="N131" i="14" s="1"/>
  <c r="N132" i="14" s="1"/>
  <c r="N55" i="13" s="1"/>
  <c r="AA124" i="14"/>
  <c r="AA125" i="14" s="1"/>
  <c r="AA126" i="14" s="1"/>
  <c r="AA131" i="14" s="1"/>
  <c r="AA132" i="14" s="1"/>
  <c r="Z55" i="13" s="1"/>
  <c r="P124" i="14"/>
  <c r="P125" i="14" s="1"/>
  <c r="P126" i="14" s="1"/>
  <c r="P131" i="14" s="1"/>
  <c r="P132" i="14" s="1"/>
  <c r="P55" i="13" s="1"/>
  <c r="S132" i="14"/>
  <c r="H61" i="13"/>
  <c r="T124" i="14"/>
  <c r="R106" i="14"/>
  <c r="R54" i="13" s="1"/>
  <c r="AD124" i="14"/>
  <c r="AD125" i="14" s="1"/>
  <c r="AD126" i="14" s="1"/>
  <c r="AD131" i="14" s="1"/>
  <c r="AD132" i="14" s="1"/>
  <c r="AC55" i="13" s="1"/>
  <c r="M124" i="14"/>
  <c r="M125" i="14" s="1"/>
  <c r="M126" i="14" s="1"/>
  <c r="M131" i="14" s="1"/>
  <c r="M132" i="14" s="1"/>
  <c r="M55" i="13" s="1"/>
  <c r="U124" i="14"/>
  <c r="U125" i="14" s="1"/>
  <c r="U126" i="14" s="1"/>
  <c r="U131" i="14" s="1"/>
  <c r="U132" i="14" s="1"/>
  <c r="T55" i="13" s="1"/>
  <c r="H124" i="14"/>
  <c r="H125" i="14" s="1"/>
  <c r="H126" i="14" s="1"/>
  <c r="I124" i="14"/>
  <c r="I125" i="14" s="1"/>
  <c r="I126" i="14" s="1"/>
  <c r="I131" i="14" s="1"/>
  <c r="I132" i="14" s="1"/>
  <c r="I55" i="13" s="1"/>
  <c r="O122" i="14"/>
  <c r="O123" i="14" s="1"/>
  <c r="O130" i="14" s="1"/>
  <c r="O124" i="14"/>
  <c r="O125" i="14" s="1"/>
  <c r="O126" i="14" s="1"/>
  <c r="O131" i="14" s="1"/>
  <c r="Z122" i="14"/>
  <c r="Z123" i="14" s="1"/>
  <c r="Z130" i="14" s="1"/>
  <c r="Z124" i="14"/>
  <c r="Z125" i="14" s="1"/>
  <c r="Z126" i="14" s="1"/>
  <c r="Z131" i="14" s="1"/>
  <c r="L122" i="14"/>
  <c r="L123" i="14" s="1"/>
  <c r="L130" i="14" s="1"/>
  <c r="L124" i="14"/>
  <c r="L125" i="14" s="1"/>
  <c r="L126" i="14" s="1"/>
  <c r="L131" i="14" s="1"/>
  <c r="AC122" i="14"/>
  <c r="AC123" i="14" s="1"/>
  <c r="AC130" i="14" s="1"/>
  <c r="AC124" i="14"/>
  <c r="AC125" i="14" s="1"/>
  <c r="AC126" i="14" s="1"/>
  <c r="AC131" i="14" s="1"/>
  <c r="X122" i="14"/>
  <c r="X123" i="14" s="1"/>
  <c r="X130" i="14" s="1"/>
  <c r="X124" i="14"/>
  <c r="X125" i="14" s="1"/>
  <c r="X126" i="14" s="1"/>
  <c r="X131" i="14" s="1"/>
  <c r="Q122" i="14"/>
  <c r="Q123" i="14" s="1"/>
  <c r="Q130" i="14" s="1"/>
  <c r="Q124" i="14"/>
  <c r="Q125" i="14" s="1"/>
  <c r="Q126" i="14" s="1"/>
  <c r="Q131" i="14" s="1"/>
  <c r="U106" i="14"/>
  <c r="T54" i="13" s="1"/>
  <c r="K63" i="13"/>
  <c r="H106" i="14"/>
  <c r="H54" i="13" s="1"/>
  <c r="O75" i="14"/>
  <c r="O76" i="14" s="1"/>
  <c r="O80" i="14" s="1"/>
  <c r="O81" i="14" s="1"/>
  <c r="O53" i="13" s="1"/>
  <c r="AB125" i="14"/>
  <c r="AB126" i="14" s="1"/>
  <c r="AB131" i="14" s="1"/>
  <c r="AB132" i="14" s="1"/>
  <c r="AA55" i="13" s="1"/>
  <c r="J99" i="14"/>
  <c r="J100" i="14" s="1"/>
  <c r="J105" i="14" s="1"/>
  <c r="J106" i="14" s="1"/>
  <c r="J54" i="13" s="1"/>
  <c r="Y125" i="14"/>
  <c r="Y126" i="14" s="1"/>
  <c r="Y131" i="14" s="1"/>
  <c r="Y132" i="14" s="1"/>
  <c r="X55" i="13" s="1"/>
  <c r="Z75" i="14"/>
  <c r="Z76" i="14" s="1"/>
  <c r="Z80" i="14" s="1"/>
  <c r="Z81" i="14" s="1"/>
  <c r="Y53" i="13" s="1"/>
  <c r="AE99" i="14"/>
  <c r="AE100" i="14" s="1"/>
  <c r="AE105" i="14" s="1"/>
  <c r="AE106" i="14" s="1"/>
  <c r="AD54" i="13" s="1"/>
  <c r="Y75" i="14"/>
  <c r="Y76" i="14" s="1"/>
  <c r="Y80" i="14" s="1"/>
  <c r="Y81" i="14" s="1"/>
  <c r="X53" i="13" s="1"/>
  <c r="AB75" i="14"/>
  <c r="AB76" i="14" s="1"/>
  <c r="AB80" i="14" s="1"/>
  <c r="AB81" i="14" s="1"/>
  <c r="AA53" i="13" s="1"/>
  <c r="H75" i="14"/>
  <c r="H76" i="14" s="1"/>
  <c r="H80" i="14" s="1"/>
  <c r="AA99" i="14"/>
  <c r="AA100" i="14" s="1"/>
  <c r="AA105" i="14" s="1"/>
  <c r="AA106" i="14" s="1"/>
  <c r="Z54" i="13" s="1"/>
  <c r="J125" i="14"/>
  <c r="J126" i="14" s="1"/>
  <c r="J131" i="14" s="1"/>
  <c r="J132" i="14" s="1"/>
  <c r="J55" i="13" s="1"/>
  <c r="U75" i="14"/>
  <c r="U76" i="14" s="1"/>
  <c r="U80" i="14" s="1"/>
  <c r="U81" i="14" s="1"/>
  <c r="T53" i="13" s="1"/>
  <c r="V99" i="14"/>
  <c r="V100" i="14" s="1"/>
  <c r="V105" i="14" s="1"/>
  <c r="V106" i="14" s="1"/>
  <c r="U54" i="13" s="1"/>
  <c r="T99" i="14"/>
  <c r="T100" i="14" s="1"/>
  <c r="T105" i="14" s="1"/>
  <c r="T106" i="14" s="1"/>
  <c r="S54" i="13" s="1"/>
  <c r="Q99" i="14"/>
  <c r="Q100" i="14" s="1"/>
  <c r="Q105" i="14" s="1"/>
  <c r="Q106" i="14" s="1"/>
  <c r="Q54" i="13" s="1"/>
  <c r="T125" i="14"/>
  <c r="T126" i="14" s="1"/>
  <c r="T131" i="14" s="1"/>
  <c r="T132" i="14" s="1"/>
  <c r="S55" i="13" s="1"/>
  <c r="AD99" i="14"/>
  <c r="AD100" i="14" s="1"/>
  <c r="AD105" i="14" s="1"/>
  <c r="AD106" i="14" s="1"/>
  <c r="AC54" i="13" s="1"/>
  <c r="T75" i="14"/>
  <c r="T76" i="14" s="1"/>
  <c r="T80" i="14" s="1"/>
  <c r="T81" i="14" s="1"/>
  <c r="S53" i="13" s="1"/>
  <c r="M75" i="14"/>
  <c r="M76" i="14" s="1"/>
  <c r="M80" i="14" s="1"/>
  <c r="M81" i="14" s="1"/>
  <c r="M53" i="13" s="1"/>
  <c r="H56" i="13"/>
  <c r="Q66" i="13"/>
  <c r="P67" i="13" s="1"/>
  <c r="N62" i="13"/>
  <c r="O132" i="14" l="1"/>
  <c r="O55" i="13" s="1"/>
  <c r="Q132" i="14"/>
  <c r="Q55" i="13" s="1"/>
  <c r="L132" i="14"/>
  <c r="L55" i="13" s="1"/>
  <c r="Z132" i="14"/>
  <c r="Y55" i="13" s="1"/>
  <c r="AC132" i="14"/>
  <c r="AB55" i="13" s="1"/>
  <c r="X132" i="14"/>
  <c r="W55" i="13" s="1"/>
  <c r="K64" i="13"/>
  <c r="J65" i="13" s="1"/>
  <c r="H62" i="13"/>
  <c r="H81" i="14"/>
  <c r="H53" i="13" s="1"/>
  <c r="H131" i="14"/>
  <c r="H132" i="14" s="1"/>
  <c r="H55" i="13" s="1"/>
  <c r="N63" i="13"/>
  <c r="H63" i="13" l="1"/>
  <c r="G64" i="13" s="1"/>
  <c r="N64" i="13"/>
  <c r="M65"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<sst xmlns="http://schemas.openxmlformats.org/spreadsheetml/2006/main" count="747" uniqueCount="326">
  <si>
    <t>Mærsk Mc-Kinney Møller Center for Zero Carbon Shipping</t>
  </si>
  <si>
    <t>MTM Compliance Cost Calculator</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</si>
  <si>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</si>
  <si>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t>Drop-downs</t>
  </si>
  <si>
    <t>WtW</t>
  </si>
  <si>
    <t>EU Reference</t>
  </si>
  <si>
    <t>Yes</t>
  </si>
  <si>
    <t>Adjusted TtW</t>
  </si>
  <si>
    <t>IMO LCA</t>
  </si>
  <si>
    <t>Enter my own</t>
  </si>
  <si>
    <t>User input</t>
  </si>
  <si>
    <t>Results comparing strategies</t>
  </si>
  <si>
    <t>Policy scenario setup</t>
  </si>
  <si>
    <t>Notes/sources</t>
  </si>
  <si>
    <t>LSFO</t>
  </si>
  <si>
    <t>No</t>
  </si>
  <si>
    <t>Year for snapshot figures</t>
  </si>
  <si>
    <t>Bio-diesel</t>
  </si>
  <si>
    <t>Emissions scope</t>
  </si>
  <si>
    <t>Choose well-to-wake (WTW) or 'adjusted tank-to-wake (TTW)' according to the methodology submitted in proposal by Angola et al (ISWG-GHG 17-2-7 pg. 2-3)</t>
  </si>
  <si>
    <t>LNG (HP)</t>
  </si>
  <si>
    <t>Choose reference value source or enter your own</t>
  </si>
  <si>
    <t>Levy Low ($18.75)</t>
  </si>
  <si>
    <t>LNG (LP)</t>
  </si>
  <si>
    <t>GHG intensity reference value for the GFS [gCO2e/MJ] -&gt;</t>
  </si>
  <si>
    <t>Levy Medium ($100)</t>
  </si>
  <si>
    <t>Bio-methane (HP)</t>
  </si>
  <si>
    <t>Levy High ($150)</t>
  </si>
  <si>
    <t>Bio-methane (LP)</t>
  </si>
  <si>
    <t>GFI target/requirement [gCO2e/MJ]</t>
  </si>
  <si>
    <t>No Levy ($0)</t>
  </si>
  <si>
    <t>ZNZ</t>
  </si>
  <si>
    <t>Pick levy proposal or enter your own</t>
  </si>
  <si>
    <t>No Reward</t>
  </si>
  <si>
    <t>MMM LSFO</t>
  </si>
  <si>
    <t>Enter fixed price</t>
  </si>
  <si>
    <t>Set a Remedial Unit price [USD/tonne CO2e]</t>
  </si>
  <si>
    <t>MMM LNG</t>
  </si>
  <si>
    <t>Enter RU price for non-compliance [USD/tCO2e] -&gt;</t>
  </si>
  <si>
    <t>LR/UMAS B100 - Avg Price</t>
  </si>
  <si>
    <t>ZNZ reward [USD/tonne CO2e]</t>
  </si>
  <si>
    <t>LR/UMAS B100 - Low Price</t>
  </si>
  <si>
    <t>LR/UMAS B100 - High Price</t>
  </si>
  <si>
    <t>Will the following energy sources be available in sufficient quantities to be able to set the surplus unit price?</t>
  </si>
  <si>
    <t>MMM Bio-methane Cost</t>
  </si>
  <si>
    <t>Will bio-diesel set surplus unit prices?</t>
  </si>
  <si>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</si>
  <si>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Will bio-methane set surplus unit prices?</t>
  </si>
  <si>
    <t>Otto dual fuel (LP)</t>
  </si>
  <si>
    <t>Will ZNZs set surplus unit prices?</t>
  </si>
  <si>
    <t>Diesel dual fuel (HP)</t>
  </si>
  <si>
    <t>MMM ZNZ - Avg Cost</t>
  </si>
  <si>
    <t>Strategy 1: LSFO + bio-diesel</t>
  </si>
  <si>
    <t>Sources</t>
  </si>
  <si>
    <t>MMM ZNZ - Low Cost</t>
  </si>
  <si>
    <t>LSFO fuel costs [USD/tonne LSFO]</t>
  </si>
  <si>
    <t>MMM ZNZ - High Cost</t>
  </si>
  <si>
    <t>Use a MMMCZCS forecast or enter your own</t>
  </si>
  <si>
    <t>MMM Fuel Cost Calculator, 2024</t>
  </si>
  <si>
    <t>4. ZNZ: Fully ZNZ with Surplus Units</t>
  </si>
  <si>
    <t>Bio-diesel fuel costs [USD/tLSFOeq]</t>
  </si>
  <si>
    <t>Use a bio-diesel forecast from LR &amp; UMAS or enter your own (B100 = 100% bio-diesel)</t>
  </si>
  <si>
    <t>LR &amp; UMAS, 2020</t>
  </si>
  <si>
    <t>Strategy 2: LNG + bio-methane</t>
  </si>
  <si>
    <t>LNG engine type and fuel costs [USD/tLSFO-eq]</t>
  </si>
  <si>
    <t>Choose LNG engine type</t>
  </si>
  <si>
    <t>Tables for figures</t>
  </si>
  <si>
    <t>Use MMMCZCS forecast for fuel costs?</t>
  </si>
  <si>
    <t xml:space="preserve">Comparing MTM Compliance Strategies [USD/tLSFOeq] </t>
  </si>
  <si>
    <t>Strategy 1: LSFO + bio-diesel (base case)</t>
  </si>
  <si>
    <t>LNG: bio-methane fuel costs [USD/tLSFOeq]</t>
  </si>
  <si>
    <t>Choose between our Fuel Cost Calculator values, with increasing costs over time (due to feedstock cost constraints) or enter your own</t>
  </si>
  <si>
    <t>Strategy 3: LSFO + ZNZ</t>
  </si>
  <si>
    <t>Strategy 4: 100% ZNZ</t>
  </si>
  <si>
    <t>Strategies 3 &amp; 4: ZNZ</t>
  </si>
  <si>
    <t>Notes</t>
  </si>
  <si>
    <t>Set ZNZ marine fuel characteristics</t>
  </si>
  <si>
    <t>LSFO fuel</t>
  </si>
  <si>
    <t>LNG fuel</t>
  </si>
  <si>
    <t>ZNZ fuel</t>
  </si>
  <si>
    <t>Enter % reduction below the reference value</t>
  </si>
  <si>
    <t xml:space="preserve">EF for the ZNZ fuel [gCO2e/MJ] </t>
  </si>
  <si>
    <t>Based on the reduction % above and the reference value</t>
  </si>
  <si>
    <t>Levy</t>
  </si>
  <si>
    <t>GFS Surplus</t>
  </si>
  <si>
    <t>Use MMMCZCS Fuel Cost Calculator or enter your own</t>
  </si>
  <si>
    <t>Total S1</t>
  </si>
  <si>
    <t>ZNZ Reward</t>
  </si>
  <si>
    <t>Total S2</t>
  </si>
  <si>
    <t>Total S3</t>
  </si>
  <si>
    <t>Total S4</t>
  </si>
  <si>
    <t>User selected GHG reference values and emission factors</t>
  </si>
  <si>
    <t>User Input</t>
  </si>
  <si>
    <t>Calculation</t>
  </si>
  <si>
    <t>Units</t>
  </si>
  <si>
    <t>Reference</t>
  </si>
  <si>
    <t>GHG fuel intensity (GFI) reference</t>
  </si>
  <si>
    <t>WTW or TTW based on user input</t>
  </si>
  <si>
    <t>gCO2e/MJ</t>
  </si>
  <si>
    <t>WtW EF_actual x (TTW_ref / WTW_ref)</t>
  </si>
  <si>
    <t>Selected Emissions Factor</t>
  </si>
  <si>
    <t>User selected policy paramaters</t>
  </si>
  <si>
    <t>Parameters</t>
  </si>
  <si>
    <t>GFS Requirement</t>
  </si>
  <si>
    <t>Based on user input</t>
  </si>
  <si>
    <t>GFI reference x z-factor</t>
  </si>
  <si>
    <t>USD/tCO2e</t>
  </si>
  <si>
    <t>Reward Rate</t>
  </si>
  <si>
    <t>Remedial Unit</t>
  </si>
  <si>
    <t>Fuel cost calculations</t>
  </si>
  <si>
    <t>Fuel Costs</t>
  </si>
  <si>
    <t>User Input / Lookups</t>
  </si>
  <si>
    <t>LSFO Emissions Factor</t>
  </si>
  <si>
    <t>LSFO Emissions Factor (Converted)</t>
  </si>
  <si>
    <t>Convered to tonnes CO2e per GJ</t>
  </si>
  <si>
    <t>Emission factor / 1000</t>
  </si>
  <si>
    <t>tCO2e/GJ</t>
  </si>
  <si>
    <t>Target - LSFO actual (converted)</t>
  </si>
  <si>
    <t>tCO2e deficit/tLSFO</t>
  </si>
  <si>
    <t>LSFO Fuel Cost</t>
  </si>
  <si>
    <t>USD/GJ</t>
  </si>
  <si>
    <t>LSFO RU cost per tonne of LSFO</t>
  </si>
  <si>
    <t>Converted to cost per tonne of fuel</t>
  </si>
  <si>
    <t>Abatement cost / emissions per tonne of fuel</t>
  </si>
  <si>
    <t>USD/tLSFO</t>
  </si>
  <si>
    <t>LNG</t>
  </si>
  <si>
    <t>LNG Emissions Factor</t>
  </si>
  <si>
    <t>LNG Emissions Factor (Converted)</t>
  </si>
  <si>
    <t>tCO2e deficit/tLSFOeq</t>
  </si>
  <si>
    <t>LNG Emissions Surplus</t>
  </si>
  <si>
    <t>Target - LNG actual (converted)</t>
  </si>
  <si>
    <t>tCO2e surplus/tLSFOeq</t>
  </si>
  <si>
    <t>LNG Fuel Cost</t>
  </si>
  <si>
    <t>LNG RU cost per tonne of LSFOeq</t>
  </si>
  <si>
    <t>USD/tLSFOeq</t>
  </si>
  <si>
    <t>Bio-diesel Emissions Factor</t>
  </si>
  <si>
    <t>Bio-diesel Emissions Factor (Converted)</t>
  </si>
  <si>
    <t>Bio-diesel Emissions Surplus/Deficit</t>
  </si>
  <si>
    <t>Target - Bio-diesel actual (converted)</t>
  </si>
  <si>
    <t>Bio-diesel Fuel Cost</t>
  </si>
  <si>
    <t>Bio-methane</t>
  </si>
  <si>
    <t>Bio-methane Emissions Factor</t>
  </si>
  <si>
    <t>Bio-methane Emissions Factor (Converted)</t>
  </si>
  <si>
    <t>Bio-methane Emissions Surplus/Deficit</t>
  </si>
  <si>
    <t>Target - Bio-methane actual (converted)</t>
  </si>
  <si>
    <t>Bio-methane Fuel Cost</t>
  </si>
  <si>
    <t>ZNZ Emission Factor</t>
  </si>
  <si>
    <t>ZNZ Emission Factor (Converted)</t>
  </si>
  <si>
    <t>Target - ZNZ actual (converted)</t>
  </si>
  <si>
    <t>ZNZ Emissions Surplus</t>
  </si>
  <si>
    <t>ZNZ Fuel Cost</t>
  </si>
  <si>
    <t>Surplus Unit Value</t>
  </si>
  <si>
    <t>Abatement</t>
  </si>
  <si>
    <t>Abatement cost - Levy</t>
  </si>
  <si>
    <t/>
  </si>
  <si>
    <t>USD/tCO2e abatement</t>
  </si>
  <si>
    <t>Bio-diesel blend</t>
  </si>
  <si>
    <t>Bio-methane blend</t>
  </si>
  <si>
    <t>Cost to buy one remedial unit</t>
  </si>
  <si>
    <t>USD/tCO2e deficit</t>
  </si>
  <si>
    <t>Market price of surplus unit</t>
  </si>
  <si>
    <t>Minimum  abatement cost of RUs and other available compliance options</t>
  </si>
  <si>
    <t>USD/tonne of CO2e abatement</t>
  </si>
  <si>
    <t>Strategy 1: LSFO + Bio-diesel (base case)</t>
  </si>
  <si>
    <t>Bio-diesel cost premium</t>
  </si>
  <si>
    <t>Bio-diesel additional cost per GJ</t>
  </si>
  <si>
    <t>bio cost - LSFO cost</t>
  </si>
  <si>
    <t>Bio-diesel abatement per GJ</t>
  </si>
  <si>
    <t>bio EF - LSFO EF</t>
  </si>
  <si>
    <t>tCO2e abatement/GJ</t>
  </si>
  <si>
    <t>Bio-diesel blend abatement cost</t>
  </si>
  <si>
    <t>Additional cost per t of abatement</t>
  </si>
  <si>
    <t>Cost diff/EF diff</t>
  </si>
  <si>
    <t>Bio-diesel abatement cost minus levy savings</t>
  </si>
  <si>
    <t>Subtract avoided levy</t>
  </si>
  <si>
    <t>Minimum compliance cost</t>
  </si>
  <si>
    <t>Lowest cost compliance cost</t>
  </si>
  <si>
    <t>Minimum</t>
  </si>
  <si>
    <t>Minimum compliance option</t>
  </si>
  <si>
    <t>Lowest cost compliance option</t>
  </si>
  <si>
    <t>GFS cost</t>
  </si>
  <si>
    <t>Lowest cost option converted</t>
  </si>
  <si>
    <t>Levy Costs</t>
  </si>
  <si>
    <t>Emission factor of fuel for GFS</t>
  </si>
  <si>
    <t>If RUs are cheapest, EF is the HFO</t>
  </si>
  <si>
    <t>Emissions factor of fuel for levy</t>
  </si>
  <si>
    <t>EF x LSFO LCV</t>
  </si>
  <si>
    <t>tCO2e/tLSFOeq</t>
  </si>
  <si>
    <t>Levy cost</t>
  </si>
  <si>
    <t>WtW emissions if not blending bio</t>
  </si>
  <si>
    <t>EF x Levy</t>
  </si>
  <si>
    <t>USD/t fuel</t>
  </si>
  <si>
    <t>Total Costs</t>
  </si>
  <si>
    <t>Cost per tonne of LSFO or equivalence</t>
  </si>
  <si>
    <t>Minimum between Bio-diesel and penalty</t>
  </si>
  <si>
    <t>fuel cost + compliance cost</t>
  </si>
  <si>
    <t>Strategy 2: LNG + Bio-methane</t>
  </si>
  <si>
    <t>Bio-methane cost premium</t>
  </si>
  <si>
    <t>Bio-methane additional cost per GJ</t>
  </si>
  <si>
    <t>Bio-methane abatement per GJ</t>
  </si>
  <si>
    <t>Bio-methane blend abatement cost</t>
  </si>
  <si>
    <t>Bio-methane abatement cost minus levy savings</t>
  </si>
  <si>
    <t>Surplus</t>
  </si>
  <si>
    <t>Surplus when LNG emissions factor is lower than GFI requirement</t>
  </si>
  <si>
    <t>Alt surplus x LSFO LCV</t>
  </si>
  <si>
    <t xml:space="preserve">Surplus value </t>
  </si>
  <si>
    <t>Surplus at the market value</t>
  </si>
  <si>
    <t>Abatement x surplus value</t>
  </si>
  <si>
    <t>USD/tLSFO-eq</t>
  </si>
  <si>
    <t>Cost per tonne of LNG or equivalence</t>
  </si>
  <si>
    <t>Minimum between Bio-methane and penalty</t>
  </si>
  <si>
    <t>ZNZ cost premium</t>
  </si>
  <si>
    <t>ZNZ additional cost per GJ</t>
  </si>
  <si>
    <t>ZNZ cost - LSFO cost</t>
  </si>
  <si>
    <t>ZNZ abatement per GJ</t>
  </si>
  <si>
    <t>ZNZ EF - LSFO EF</t>
  </si>
  <si>
    <t>Reward</t>
  </si>
  <si>
    <t>ZNZ abatement</t>
  </si>
  <si>
    <t>attained EF - LSFO EF</t>
  </si>
  <si>
    <t>ZNZ abatement (converted)</t>
  </si>
  <si>
    <t>abatement x LSFO LCV</t>
  </si>
  <si>
    <t>ZNZ reward</t>
  </si>
  <si>
    <t>Rewards are granted per tonne abatement by a ZNZ</t>
  </si>
  <si>
    <t>abatement x reward</t>
  </si>
  <si>
    <t>Minimum between ZNZ and penalty</t>
  </si>
  <si>
    <t>Cost of RUs</t>
  </si>
  <si>
    <t>GHG Reference values and emissions factors</t>
  </si>
  <si>
    <t>Lower Calorific Value</t>
  </si>
  <si>
    <t>MJ/g</t>
  </si>
  <si>
    <t>use LSFO-eq</t>
  </si>
  <si>
    <t>Source</t>
  </si>
  <si>
    <t>FuelEU (Proposed in 17-2-1)</t>
  </si>
  <si>
    <t>VLSFO Values from MEPC 81/16/Add.1, Annex 10, Appendix 2 (pg 49)</t>
  </si>
  <si>
    <t>FuelEU Annex II</t>
  </si>
  <si>
    <r>
      <rPr>
        <b/>
        <i/>
        <sz val="11"/>
        <color theme="1"/>
        <rFont val="Calibri"/>
        <family val="2"/>
        <scheme val="minor"/>
      </rPr>
      <t>Note:</t>
    </r>
    <r>
      <rPr>
        <i/>
        <sz val="11"/>
        <color theme="1"/>
        <rFont val="Calibri"/>
        <family val="2"/>
        <scheme val="minor"/>
      </rPr>
      <t xml:space="preserve"> Adj TtW according the the methodology submitted in proposal by Angola et al (ISWG-GHG 17-2-7 pg 2-3)</t>
    </r>
  </si>
  <si>
    <t>Policy Parameters</t>
  </si>
  <si>
    <t>Parameter</t>
  </si>
  <si>
    <t>units</t>
  </si>
  <si>
    <t>MEPC 82/WP.9 - Option 1 (Annex 1, pgs 16 -17)</t>
  </si>
  <si>
    <t>%</t>
  </si>
  <si>
    <t>MEPC 82/WP.9 - Option 2 (Annex 1, pg 17)</t>
  </si>
  <si>
    <t>ISWG-GHG 17-2-5 (Bahamas, Liberia, and ICS)</t>
  </si>
  <si>
    <t>USD/Tonne CO2eq (WTW)</t>
  </si>
  <si>
    <t>ISWG-GHG 18/2/5 (Austria et al.)</t>
  </si>
  <si>
    <t>CIA Fleet (DNV) Appendix C (table C-2)</t>
  </si>
  <si>
    <t>Fuel Cost Variables</t>
  </si>
  <si>
    <t>Variable</t>
  </si>
  <si>
    <t>MMMCZCS, 2024</t>
  </si>
  <si>
    <t>MMMCZCS, 2024 (forthcoming version)</t>
  </si>
  <si>
    <t>One tier or two-tier GFS?</t>
  </si>
  <si>
    <t>One-tier</t>
  </si>
  <si>
    <t>Two-tier</t>
  </si>
  <si>
    <t>Yearly or 5-year determines whether the target/requirements change every year or after 5 years.</t>
  </si>
  <si>
    <t>Yearly</t>
  </si>
  <si>
    <t>5-year</t>
  </si>
  <si>
    <t>Base</t>
  </si>
  <si>
    <t>Striving</t>
  </si>
  <si>
    <t>Choose the frequency of target/requirement reduction</t>
  </si>
  <si>
    <t>Base Yearly</t>
  </si>
  <si>
    <t>Striving Yearly</t>
  </si>
  <si>
    <t>Base 5-year</t>
  </si>
  <si>
    <t>Striving 5-year</t>
  </si>
  <si>
    <t>No Tier 2</t>
  </si>
  <si>
    <t>Choose reward rate</t>
  </si>
  <si>
    <t>LSFO Lower Tier RU cost per tonne of LSFO</t>
  </si>
  <si>
    <t>GFS Costs Lower Tier</t>
  </si>
  <si>
    <t>Lower Tier Minimum compliance cost</t>
  </si>
  <si>
    <t>Lower Tier Minimum compliance option</t>
  </si>
  <si>
    <t>GFS Lower Tier cost</t>
  </si>
  <si>
    <t>Upper Remedial Unit Cost</t>
  </si>
  <si>
    <t>Lower Remedial Unit Cost</t>
  </si>
  <si>
    <t>GFS Requirement Lower</t>
  </si>
  <si>
    <t>LSFO Emissions Deficit Upper</t>
  </si>
  <si>
    <t>LSFO Emissions Deficit Lower</t>
  </si>
  <si>
    <t>Deficit with Upper Tier requirement</t>
  </si>
  <si>
    <t>Additional deficit with Lower Tier requirement</t>
  </si>
  <si>
    <t>Lower Target - LSFO actual - Deficit Tier 1</t>
  </si>
  <si>
    <t>GFS Costs Upper Tier</t>
  </si>
  <si>
    <t>If 2-tier, surplus is with lower requirement</t>
  </si>
  <si>
    <t>Lower Target - LNG actual - Deficit Tier 1</t>
  </si>
  <si>
    <t>GFS Lower Tier (Bio or Lower RU)</t>
  </si>
  <si>
    <t>ZNZ blend abatement cost</t>
  </si>
  <si>
    <t>ZNZ abatement cost minus levy savings</t>
  </si>
  <si>
    <t>LNG Lower Tier RU cost per tonne of LSFOeq</t>
  </si>
  <si>
    <t>ZNZ Emissions Deficit Upper Tier</t>
  </si>
  <si>
    <t>LNG Emissions Deficit Upper</t>
  </si>
  <si>
    <t>LNG Emissions Deficit Lower</t>
  </si>
  <si>
    <t>ZNZ Emissions Deficit Lower Tier</t>
  </si>
  <si>
    <t>Lower Target - ZNZ actual - Deficit Tier 1</t>
  </si>
  <si>
    <t>Assumes deficits comply with RUs</t>
  </si>
  <si>
    <t>Deficit x RU (Upper)</t>
  </si>
  <si>
    <t>Cost of Lower RUs</t>
  </si>
  <si>
    <t>RU for deficits with Lower Requirement</t>
  </si>
  <si>
    <t>Lower Target Deficit x RU</t>
  </si>
  <si>
    <t>If there is a deficit, assumed RU</t>
  </si>
  <si>
    <t>Deficit for lower tier, also RU</t>
  </si>
  <si>
    <t>GFS Lower Tier (ZNZ or Lower RU)</t>
  </si>
  <si>
    <t>GFS (ZNZ or RU)</t>
  </si>
  <si>
    <t>GFS (Bio-methane or RU)</t>
  </si>
  <si>
    <t>GFS (Bio-diesel or RU)</t>
  </si>
  <si>
    <t>ZNZ fuel (after rewards and surplus)</t>
  </si>
  <si>
    <t>GFS Lower Tier (RU)</t>
  </si>
  <si>
    <t>GFS (RU)</t>
  </si>
  <si>
    <t>A two-tier GFS was proposed in ISWG-GHG 18/J/9. It sets two RUs and GFS target/requirement trajectories. If you achieve emissions below both levels you are not subject to pay RUs or SUs. However, if your emissions are at or higher than the second, lower, tier, then you are subject to RUs or SUs. If emissions are at or above the upper tier you must pay for both reduction requirements.</t>
  </si>
  <si>
    <t>(MMMCZCS analysis found a minimum 450 USD is needed to reach IMO targets)</t>
  </si>
  <si>
    <t>CIA Reward Rate Base (90 to 60% of cost gap)</t>
  </si>
  <si>
    <t>CIA Reward Rate High (105% of cost gap)</t>
  </si>
  <si>
    <t>MMMCZCS Reward Rate (60% of collected funds)</t>
  </si>
  <si>
    <t>MMMCZCS Reward Rate (30% of collected funds)</t>
  </si>
  <si>
    <t>(Internal MMMCZCS analysis finds 100 USD can mobilize revenue)</t>
  </si>
  <si>
    <t>Abatement cost - Levy - Reward</t>
  </si>
  <si>
    <r>
      <rPr>
        <b/>
        <sz val="10"/>
        <color rgb="FF000000"/>
        <rFont val="Calibri"/>
        <family val="2"/>
      </rPr>
      <t>Purpose:</t>
    </r>
    <r>
      <rPr>
        <sz val="10"/>
        <color rgb="FF000000"/>
        <rFont val="Calibri"/>
        <family val="2"/>
      </rPr>
      <t xml:space="preserve"> This tool is for policymakers and the industry seeking a deeper understanding of the proposed IMO Mid-term measures (MTMs) and how proposed regulations translate into incentives to invest in sustainable alternatives. The tool allows users to assess the impacts of various proposed regulatory scenarios, including different GHG Fuel Intensity (GFI) target/requirements, a one-tier or two-tier GFS, rewards for zero- and near-zero-emissions (ZNZ) fuels, variable levies, and emissions scope. In addition to policy parameters, users can input assumptions regarding fuel costs and emissions factors, tailoring the analysis to each organization's perspectives. ZNZs have yet to be defined by IMO Member States but are generally considered fuels and energy sources able to meet the net-zero by 2050 target.</t>
    </r>
  </si>
  <si>
    <t>Countdown Newsletter 11 March: Reflections from ISWG-GHG 18</t>
  </si>
  <si>
    <r>
      <rPr>
        <b/>
        <sz val="10"/>
        <color rgb="FF000000"/>
        <rFont val="Calibri"/>
        <family val="2"/>
      </rPr>
      <t>Version updates:</t>
    </r>
    <r>
      <rPr>
        <sz val="10"/>
        <color rgb="FF000000"/>
        <rFont val="Calibri"/>
        <family val="2"/>
      </rPr>
      <t xml:space="preserve"> Since the release of this calculator on 17 February 2025, we addressed bugs related to the impact of levies. Additionally, we incorporated a two-tier Global Fuel Standard (GFS), following the ISWG-GHG 18-J-9 proposal. For a detailed explanation of how the two-tier proposal works, please refer to the 11 March Countdown newsletter.</t>
    </r>
  </si>
  <si>
    <r>
      <rPr>
        <b/>
        <sz val="10"/>
        <color rgb="FF000000"/>
        <rFont val="Calibri"/>
        <family val="2"/>
      </rPr>
      <t xml:space="preserve">How to use the model: </t>
    </r>
    <r>
      <rPr>
        <sz val="10"/>
        <color rgb="FF000000"/>
        <rFont val="Calibri"/>
        <family val="2"/>
      </rPr>
      <t>Once MTMs come into force, commercial stakeholders will have different options for how to comply with the regulations. We defined four compliance strategies, aiming to represent different decisions that  stakeholders may make to minimize costs.The strategies are: 1) a base case using LSFO and the lowest cost between blending bio-diesel or paying the remedial unit penalty (RU), 2) LNG and the lowest cost between blending bio-methane or paying the RU, 3) LSFO and the lowest cost between ZNZ and paying the RU, and 4) using 100% ZNZ and trading the surplus compliance. The tool allows users to compare the four strategies, and how they are affected by different scenarios for the MTMs. To evaluate the relative costs of the strategies, first set up the policy scenario, then set assumptions for the four compliance strategies. For many of these inputs, you can decide to use standard MMMCZCS assumptions or enter your own assumptions. Note that the four strategies are illustrative and not-exhaustive, furthermore, strategies can be combined by, for example, by running a dual-fuel vessel on LSFO and bio-diesel, or an LNG vessel on ZNZ e-methane.</t>
    </r>
  </si>
  <si>
    <r>
      <rPr>
        <b/>
        <sz val="10"/>
        <color rgb="FF000000"/>
        <rFont val="Calibri"/>
        <family val="2"/>
      </rPr>
      <t>Logic for trading value:</t>
    </r>
    <r>
      <rPr>
        <sz val="10"/>
        <color rgb="FF000000"/>
        <rFont val="Calibri"/>
        <family val="2"/>
      </rPr>
      <t xml:space="preserve"> The GFS may include 'flexible compliance options' which allow companies with surplus compliance to trade excess in a market. Here we assume that the price of the surplus compliance units will be based on the market cost of compliance, i.e., the lowest between four options a) remedial unit cost, b) bio-diesel blend cost, c) bio-methane blend cost, or d) ZNZ fuel cost. This method aims to mimic a market equilibrium in which the surplus unit prices are set at the the level where marginal abatement cost is equal to the marginal demand for abatement. In the case of a GFS, the demand curve is fixed at a set quantity by the GFI target. To approximate this equilibrium tool allows the user to decide which compliance options should be included in the calculation, based on whether there will be sufficient supply of ZNZ, bio-diesel, or bio-methane in the market to dictate the market price of surplus units. When setting the scenario that biodiesel, biomethane, and ZNZs will not be available in sufficient quantities,' the surplus units are priced at the RU.</t>
    </r>
  </si>
  <si>
    <r>
      <rPr>
        <b/>
        <sz val="10"/>
        <color theme="1"/>
        <rFont val="Calibri"/>
        <family val="2"/>
        <scheme val="minor"/>
      </rPr>
      <t>Note:</t>
    </r>
    <r>
      <rPr>
        <sz val="10"/>
        <color theme="1"/>
        <rFont val="Calibri"/>
        <family val="2"/>
        <scheme val="minor"/>
      </rPr>
      <t xml:space="preserve"> Costs are all shown in USD per equivalence to 1 tonne of LSFO, using an energy content (LCV) of LSFO to allow for comparison between fuels. Additional costs such as captial expenditure of vessels, and additional operating costs will factor into decision making but these will generally play a smaller role compared to fuel costs.</t>
    </r>
  </si>
  <si>
    <t>Year used for the four strategy figures that isolate costs in a single year</t>
  </si>
  <si>
    <t>Chose GFS reference value source</t>
  </si>
  <si>
    <t>Price per non-compliant tCO2e above the GHG intensity target/requirement</t>
  </si>
  <si>
    <r>
      <t xml:space="preserve">Rewards allocated per tonne of CO2e below the reference value. </t>
    </r>
    <r>
      <rPr>
        <b/>
        <sz val="9"/>
        <color theme="0"/>
        <rFont val="Calibri"/>
        <family val="2"/>
        <scheme val="minor"/>
      </rPr>
      <t>'CIA Reward Rates'</t>
    </r>
    <r>
      <rPr>
        <sz val="9"/>
        <color theme="0"/>
        <rFont val="Calibri"/>
        <family val="2"/>
        <scheme val="minor"/>
      </rPr>
      <t xml:space="preserve"> based on scenarios from the Comprehensive Impact Assessment (CIA) by DNV for MEPC 82 using the cost gap between bio-methane and e-ammoni. The 90 to 60% or 105% refer to the share of cost gap covered by the reward. </t>
    </r>
    <r>
      <rPr>
        <b/>
        <sz val="9"/>
        <color theme="0"/>
        <rFont val="Calibri"/>
        <family val="2"/>
        <scheme val="minor"/>
      </rPr>
      <t>'MMMCZCS Reward Rates'</t>
    </r>
    <r>
      <rPr>
        <sz val="9"/>
        <color theme="0"/>
        <rFont val="Calibri"/>
        <family val="2"/>
        <scheme val="minor"/>
      </rPr>
      <t xml:space="preserve"> are determined by internal analysis based on funds generated with a 100 USD Lower Tier RU price and allocating 60 or 30% of the funds to reward ZNZ fuels.</t>
    </r>
  </si>
  <si>
    <r>
      <t xml:space="preserve">Determines the emissions factors due to variation in TTW slip onboard the vessel. We use default slip values from the FuelEU Regulation for  two engine types. Otto cycle low pressure (LP): 1.7% and Diesel high pressure (HP): 0.2%. LP is the engine of choice for LNG carriers, while the orderbook contains more HP engines, primarily used in non-LNG carriers. </t>
    </r>
    <r>
      <rPr>
        <b/>
        <sz val="9"/>
        <color theme="0"/>
        <rFont val="Calibri"/>
        <family val="2"/>
        <scheme val="minor"/>
      </rPr>
      <t>Note:</t>
    </r>
    <r>
      <rPr>
        <sz val="9"/>
        <color theme="0"/>
        <rFont val="Calibri"/>
        <family val="2"/>
        <scheme val="minor"/>
      </rPr>
      <t xml:space="preserve"> the IMO will use its own methodology for certifying emissions, these two values provide a range. </t>
    </r>
  </si>
  <si>
    <t>Set a % reduction below the reference, which is WTW or adjusted TTW units set above</t>
  </si>
  <si>
    <t>Here the costs are from our Fuel Cost Calculator. Note: the costs vary over time assuming learning curves, therefore, this mimics spot prices.</t>
  </si>
  <si>
    <t>FuelEU Annex II (FAME assumes the waste cooking oil Default value in RED Annex III)</t>
  </si>
  <si>
    <t>FuelEU Annex II (Assumes the biowaste Default value in RED Annex VI D + literature liquefaction GHGs)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</si>
</sst>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u/>
      <sz val="11"/>
      <color rgb="FFB8E0C2"/>
      <name val="Calibri"/>
      <family val="2"/>
      <scheme val="minor"/>
    </font>
    <font>
      <i/>
      <sz val="10"/>
      <color rgb="FF4C7870"/>
      <name val="Calibri"/>
      <family val="2"/>
      <scheme val="minor"/>
    </font>
    <font>
      <i/>
      <sz val="11"/>
      <color rgb="FFFFC000"/>
      <name val="Calibri"/>
      <family val="2"/>
      <scheme val="minor"/>
    </font>
    <font>
      <sz val="11"/>
      <color theme="0" tint="-0.249977111117893"/>
      <name val="Calibri"/>
      <family val="2"/>
      <scheme val="minor"/>
    </font>
    <font>
      <b/>
      <i/>
      <sz val="11"/>
      <color theme="0"/>
      <name val="Calibri"/>
      <family val="2"/>
      <scheme val="minor"/>
    </font>
    <font>
      <sz val="11"/>
      <color theme="1"/>
      <name val="Aktiv Grotesk Light"/>
      <family val="2"/>
    </font>
    <font>
      <b/>
      <i/>
      <sz val="11"/>
      <color theme="1"/>
      <name val="Calibri"/>
      <family val="2"/>
      <scheme val="minor"/>
    </font>
    <font>
      <b/>
      <sz val="11"/>
      <color rgb="FF5E948A"/>
      <name val="Calibri"/>
      <family val="2"/>
      <scheme val="minor"/>
    </font>
    <font>
      <sz val="11"/>
      <color rgb="FF5E948A"/>
      <name val="Calibri"/>
      <family val="2"/>
      <scheme val="minor"/>
    </font>
    <font>
      <u/>
      <sz val="11"/>
      <color theme="1"/>
      <name val="Calibri"/>
      <family val="2"/>
      <scheme val="minor"/>
    </font>
    <font>
      <i/>
      <u/>
      <sz val="11"/>
      <color theme="1"/>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u/>
      <sz val="9"/>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
      <b/>
      <i/>
      <sz val="12"/>
      <color rgb="FF4C7870"/>
      <name val="Calibri"/>
      <family val="2"/>
      <scheme val="minor"/>
    </font>
    <font>
      <b/>
      <i/>
      <sz val="11"/>
      <color rgb="FFF7BE4B"/>
      <name val="Calibri"/>
      <family val="2"/>
      <scheme val="minor"/>
    </font>
    <font>
      <i/>
      <sz val="9"/>
      <color theme="0"/>
      <name val="Calibri"/>
      <family val="2"/>
      <scheme val="minor"/>
    </font>
    <font>
      <b/>
      <sz val="9"/>
      <color theme="0"/>
      <name val="Calibri"/>
      <family val="2"/>
      <scheme val="minor"/>
    </font>
    <font>
      <u/>
      <sz val="10"/>
      <color rgb="FF4C7870"/>
      <name val="Calibri"/>
      <family val="2"/>
      <scheme val="minor"/>
    </font>
    <font>
      <i/>
      <u/>
      <sz val="8"/>
      <color theme="1"/>
      <name val="Calibri"/>
      <family val="2"/>
      <scheme val="minor"/>
    </font>
    <font>
      <i/>
      <sz val="8"/>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65">
    <xf numFmtId="0" fontId="0" fillId="0" borderId="0" xfId="0"/>
    <xf numFmtId="0" fontId="3" fillId="0" borderId="0" xfId="0" applyFont="1"/>
    <xf numFmtId="0" fontId="7" fillId="4" borderId="0" xfId="0" applyFont="1" applyFill="1" applyAlignment="1" applyProtection="1">
      <alignment vertical="center" textRotation="90"/>
      <protection locked="0"/>
    </xf>
    <xf numFmtId="0" fontId="7"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2" fontId="16" fillId="7" borderId="3" xfId="1" applyNumberFormat="1"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6" fillId="7" borderId="3" xfId="1" applyNumberFormat="1" applyFont="1" applyFill="1" applyBorder="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0" fillId="7" borderId="3" xfId="3" applyFont="1" applyFill="1" applyAlignment="1" applyProtection="1">
      <alignment horizontal="center" vertical="center"/>
      <protection locked="0"/>
    </xf>
    <xf numFmtId="9" fontId="16" fillId="7" borderId="3" xfId="1" applyFont="1" applyFill="1" applyBorder="1" applyAlignment="1" applyProtection="1">
      <alignment horizontal="center" vertical="center"/>
      <protection locked="0"/>
    </xf>
    <xf numFmtId="0" fontId="19"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7" fillId="3" borderId="0" xfId="0" applyFont="1" applyFill="1" applyAlignment="1" applyProtection="1">
      <alignment vertical="center"/>
      <protection locked="0"/>
    </xf>
    <xf numFmtId="0" fontId="24"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28" fillId="0" borderId="0" xfId="4"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protection locked="0"/>
    </xf>
    <xf numFmtId="0" fontId="3" fillId="0" borderId="0" xfId="0" applyFont="1" applyAlignment="1" applyProtection="1">
      <alignment vertical="center"/>
      <protection locked="0"/>
    </xf>
    <xf numFmtId="2"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0" fillId="0" borderId="5" xfId="0" applyBorder="1" applyAlignment="1" applyProtection="1">
      <alignment horizontal="lef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0" fillId="0" borderId="5" xfId="0" applyBorder="1" applyAlignment="1">
      <alignment vertical="center"/>
    </xf>
    <xf numFmtId="164" fontId="0" fillId="0" borderId="5" xfId="0" applyNumberFormat="1" applyBorder="1" applyAlignment="1" applyProtection="1">
      <alignment vertical="center"/>
      <protection locked="0"/>
    </xf>
    <xf numFmtId="0" fontId="0" fillId="2" borderId="0" xfId="0"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29"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5"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29"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29" fillId="0" borderId="5" xfId="4" applyFont="1" applyFill="1" applyBorder="1" applyAlignment="1" applyProtection="1">
      <alignment vertical="center"/>
      <protection locked="0"/>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29" fillId="0" borderId="0" xfId="4" applyFont="1" applyFill="1" applyAlignment="1" applyProtection="1">
      <alignment horizontal="left" vertical="center"/>
      <protection locked="0"/>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2" fontId="16" fillId="7" borderId="7" xfId="1" applyNumberFormat="1"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11" fillId="3" borderId="0" xfId="0" applyFont="1" applyFill="1" applyAlignment="1" applyProtection="1">
      <alignment vertical="center"/>
      <protection locked="0"/>
    </xf>
    <xf numFmtId="0" fontId="31" fillId="3" borderId="0" xfId="0" applyFont="1" applyFill="1" applyAlignment="1" applyProtection="1">
      <alignment vertical="center"/>
      <protection locked="0"/>
    </xf>
    <xf numFmtId="0" fontId="32"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7" fillId="0" borderId="0" xfId="0" applyFont="1" applyAlignment="1" applyProtection="1">
      <alignment vertical="center"/>
      <protection locked="0"/>
    </xf>
    <xf numFmtId="0" fontId="26" fillId="0" borderId="0" xfId="0" applyFont="1" applyAlignment="1" applyProtection="1">
      <alignment vertical="center"/>
      <protection locked="0"/>
    </xf>
    <xf numFmtId="0" fontId="27" fillId="0" borderId="1" xfId="0" applyFont="1" applyBorder="1" applyAlignment="1" applyProtection="1">
      <alignment vertical="center"/>
      <protection locked="0"/>
    </xf>
    <xf numFmtId="0" fontId="21" fillId="3" borderId="0" xfId="0" applyFont="1" applyFill="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vertical="center"/>
      <protection locked="0"/>
    </xf>
    <xf numFmtId="0" fontId="6" fillId="8" borderId="0" xfId="0" applyFont="1" applyFill="1" applyAlignment="1" applyProtection="1">
      <alignment horizontal="center" vertical="center"/>
      <protection locked="0"/>
    </xf>
    <xf numFmtId="0" fontId="35" fillId="5" borderId="0" xfId="0" applyFont="1" applyFill="1" applyAlignment="1" applyProtection="1">
      <alignment vertical="center"/>
      <protection locked="0"/>
    </xf>
    <xf numFmtId="0" fontId="32" fillId="3" borderId="0" xfId="0" applyFont="1" applyFill="1" applyAlignment="1" applyProtection="1">
      <alignment vertical="center" wrapText="1"/>
      <protection locked="0"/>
    </xf>
    <xf numFmtId="0" fontId="36"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2"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38"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38" fillId="4" borderId="0" xfId="0" applyFont="1" applyFill="1" applyAlignment="1" applyProtection="1">
      <alignment horizontal="left" vertical="center"/>
      <protection locked="0"/>
    </xf>
    <xf numFmtId="0" fontId="23" fillId="4" borderId="0" xfId="0" applyFont="1" applyFill="1" applyAlignment="1" applyProtection="1">
      <alignment horizontal="left" vertical="center"/>
      <protection locked="0"/>
    </xf>
    <xf numFmtId="0" fontId="39" fillId="4" borderId="0" xfId="0" applyFont="1" applyFill="1" applyAlignment="1" applyProtection="1">
      <alignment vertical="center"/>
      <protection locked="0"/>
    </xf>
    <xf numFmtId="0" fontId="18" fillId="7" borderId="3" xfId="3" applyFont="1" applyFill="1" applyAlignment="1" applyProtection="1">
      <alignment horizontal="center" vertical="center" wrapText="1"/>
      <protection locked="0"/>
    </xf>
    <xf numFmtId="0" fontId="11" fillId="4" borderId="0" xfId="0" applyFont="1" applyFill="1" applyProtection="1">
      <protection locked="0"/>
    </xf>
    <xf numFmtId="0" fontId="42" fillId="4" borderId="0" xfId="0" applyFont="1" applyFill="1" applyProtection="1">
      <protection locked="0"/>
    </xf>
    <xf numFmtId="0" fontId="43" fillId="4" borderId="0" xfId="0" applyFont="1" applyFill="1" applyAlignment="1" applyProtection="1">
      <alignment vertical="center"/>
      <protection locked="0"/>
    </xf>
    <xf numFmtId="0" fontId="44" fillId="4" borderId="0" xfId="0" applyFont="1" applyFill="1" applyAlignment="1" applyProtection="1">
      <alignment vertical="center"/>
      <protection locked="0"/>
    </xf>
    <xf numFmtId="2" fontId="45" fillId="7" borderId="0" xfId="1" applyNumberFormat="1" applyFont="1" applyFill="1" applyBorder="1" applyAlignment="1" applyProtection="1">
      <alignment horizontal="center" vertical="center"/>
      <protection locked="0"/>
    </xf>
    <xf numFmtId="0" fontId="0" fillId="0" borderId="0" xfId="0" applyAlignment="1">
      <alignment horizontal="right"/>
    </xf>
    <xf numFmtId="0" fontId="14" fillId="0" borderId="0" xfId="0" applyFont="1"/>
    <xf numFmtId="0" fontId="14" fillId="0" borderId="0" xfId="0" applyFont="1" applyAlignment="1">
      <alignment horizontal="left"/>
    </xf>
    <xf numFmtId="0" fontId="25" fillId="0" borderId="2" xfId="0" applyFont="1" applyBorder="1" applyAlignment="1" applyProtection="1">
      <alignment horizontal="left" vertical="center" wrapText="1"/>
      <protection locked="0"/>
    </xf>
    <xf numFmtId="0" fontId="0" fillId="0" borderId="0" xfId="0" applyAlignment="1">
      <alignment wrapText="1"/>
    </xf>
    <xf numFmtId="2" fontId="0" fillId="0" borderId="0" xfId="0" applyNumberFormat="1"/>
    <xf numFmtId="0" fontId="14" fillId="0" borderId="0" xfId="0" applyFont="1" applyAlignment="1">
      <alignment horizontal="right"/>
    </xf>
    <xf numFmtId="0" fontId="0" fillId="0" borderId="0" xfId="0" applyProtection="1">
      <protection locked="0"/>
    </xf>
    <xf numFmtId="0" fontId="14" fillId="0" borderId="0" xfId="0" applyFont="1" applyAlignment="1" applyProtection="1">
      <alignment horizontal="left"/>
      <protection locked="0"/>
    </xf>
    <xf numFmtId="0" fontId="3" fillId="0" borderId="0" xfId="0" applyFont="1" applyAlignment="1">
      <alignment horizontal="right"/>
    </xf>
    <xf numFmtId="0" fontId="0" fillId="0" borderId="0" xfId="0" quotePrefix="1" applyAlignment="1" applyProtection="1">
      <alignment vertical="center"/>
      <protection locked="0"/>
    </xf>
    <xf numFmtId="0" fontId="0" fillId="0" borderId="5" xfId="0" quotePrefix="1" applyBorder="1" applyAlignment="1" applyProtection="1">
      <alignment vertical="center"/>
      <protection locked="0"/>
    </xf>
    <xf numFmtId="0" fontId="14" fillId="0" borderId="5" xfId="0" applyFont="1" applyBorder="1" applyAlignment="1" applyProtection="1">
      <alignment vertical="center"/>
      <protection locked="0"/>
    </xf>
    <xf numFmtId="0" fontId="30" fillId="0" borderId="0" xfId="0" applyFont="1"/>
    <xf numFmtId="0" fontId="3" fillId="0" borderId="0" xfId="0" applyFont="1" applyAlignment="1" applyProtection="1">
      <alignment horizontal="righ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0" fontId="3" fillId="0" borderId="6"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25" fillId="0" borderId="6" xfId="0" applyFont="1" applyBorder="1" applyAlignment="1" applyProtection="1">
      <alignment horizontal="left" vertical="center"/>
      <protection locked="0"/>
    </xf>
    <xf numFmtId="0" fontId="3" fillId="0" borderId="0" xfId="0" quotePrefix="1" applyFont="1" applyAlignment="1" applyProtection="1">
      <alignment vertical="center"/>
      <protection locked="0"/>
    </xf>
    <xf numFmtId="0" fontId="25" fillId="0" borderId="0" xfId="0" quotePrefix="1" applyFont="1" applyAlignment="1" applyProtection="1">
      <alignment vertical="center"/>
      <protection locked="0"/>
    </xf>
    <xf numFmtId="0" fontId="3" fillId="0" borderId="6" xfId="0" quotePrefix="1" applyFont="1" applyBorder="1" applyAlignment="1" applyProtection="1">
      <alignment vertical="center"/>
      <protection locked="0"/>
    </xf>
    <xf numFmtId="0" fontId="25"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0" fontId="46" fillId="3" borderId="0" xfId="0" applyFont="1" applyFill="1" applyAlignment="1" applyProtection="1">
      <alignment vertical="center"/>
      <protection locked="0"/>
    </xf>
    <xf numFmtId="0" fontId="17" fillId="3" borderId="0" xfId="0" applyFont="1" applyFill="1" applyAlignment="1" applyProtection="1">
      <alignment vertical="center" wrapText="1"/>
      <protection locked="0"/>
    </xf>
    <xf numFmtId="0" fontId="37" fillId="3" borderId="0" xfId="2" applyFont="1" applyFill="1" applyAlignment="1" applyProtection="1">
      <alignment vertical="center" wrapText="1"/>
      <protection locked="0"/>
    </xf>
    <xf numFmtId="0" fontId="47" fillId="3" borderId="0" xfId="0" applyFont="1" applyFill="1" applyAlignment="1" applyProtection="1">
      <alignment vertical="center" wrapText="1"/>
      <protection locked="0"/>
    </xf>
    <xf numFmtId="1" fontId="38" fillId="4" borderId="9" xfId="0" applyNumberFormat="1" applyFont="1" applyFill="1" applyBorder="1" applyAlignment="1">
      <alignment vertical="center"/>
    </xf>
    <xf numFmtId="1" fontId="38" fillId="4" borderId="11" xfId="0" applyNumberFormat="1" applyFont="1" applyFill="1" applyBorder="1" applyAlignment="1">
      <alignment vertical="center"/>
    </xf>
    <xf numFmtId="1" fontId="38" fillId="4" borderId="10" xfId="0" applyNumberFormat="1" applyFont="1" applyFill="1" applyBorder="1" applyAlignment="1">
      <alignment vertical="center"/>
    </xf>
    <xf numFmtId="0" fontId="38" fillId="4" borderId="0" xfId="0" applyFont="1" applyFill="1" applyAlignment="1">
      <alignment vertical="center"/>
    </xf>
    <xf numFmtId="0" fontId="38" fillId="4" borderId="0" xfId="0" quotePrefix="1" applyFont="1" applyFill="1" applyAlignment="1">
      <alignment vertical="center"/>
    </xf>
    <xf numFmtId="0" fontId="47" fillId="4" borderId="0" xfId="0" applyFont="1" applyFill="1" applyAlignment="1">
      <alignment horizontal="left" vertical="center"/>
    </xf>
    <xf numFmtId="0" fontId="23" fillId="4" borderId="0" xfId="0" applyFont="1" applyFill="1" applyAlignment="1">
      <alignment vertical="center"/>
    </xf>
    <xf numFmtId="0" fontId="39" fillId="4" borderId="0" xfId="0" applyFont="1" applyFill="1" applyAlignment="1">
      <alignment vertical="center"/>
    </xf>
    <xf numFmtId="0" fontId="25" fillId="0" borderId="2" xfId="0" applyFont="1" applyBorder="1" applyAlignment="1">
      <alignment horizontal="left" vertical="center" wrapText="1"/>
    </xf>
    <xf numFmtId="2" fontId="14" fillId="0" borderId="1" xfId="0" applyNumberFormat="1" applyFont="1" applyBorder="1"/>
    <xf numFmtId="0" fontId="14" fillId="0" borderId="1" xfId="0" applyFont="1" applyBorder="1"/>
    <xf numFmtId="0" fontId="14" fillId="0" borderId="1" xfId="0" applyFont="1" applyBorder="1" applyAlignment="1">
      <alignment vertical="center"/>
    </xf>
    <xf numFmtId="0" fontId="14" fillId="0" borderId="0" xfId="0" quotePrefix="1" applyFont="1" applyAlignment="1">
      <alignment vertical="center"/>
    </xf>
    <xf numFmtId="0" fontId="14" fillId="0" borderId="5" xfId="0" quotePrefix="1" applyFont="1" applyBorder="1" applyAlignment="1">
      <alignment vertical="center"/>
    </xf>
    <xf numFmtId="0" fontId="14" fillId="0" borderId="8" xfId="0" applyFont="1" applyBorder="1" applyAlignment="1">
      <alignment vertical="center"/>
    </xf>
    <xf numFmtId="0" fontId="3" fillId="0" borderId="0" xfId="0" applyFont="1" applyAlignment="1">
      <alignment horizontal="left" vertical="center" wrapText="1"/>
    </xf>
    <xf numFmtId="0" fontId="25" fillId="0" borderId="2" xfId="0" applyFont="1" applyBorder="1" applyAlignment="1">
      <alignment horizontal="left" vertical="center"/>
    </xf>
    <xf numFmtId="0" fontId="3" fillId="0" borderId="2" xfId="0" applyFont="1" applyBorder="1" applyAlignment="1">
      <alignment horizontal="left" vertical="center" wrapText="1"/>
    </xf>
    <xf numFmtId="2" fontId="3" fillId="0" borderId="0" xfId="0" quotePrefix="1" applyNumberFormat="1" applyFont="1"/>
    <xf numFmtId="2" fontId="0" fillId="0" borderId="0" xfId="0" quotePrefix="1" applyNumberFormat="1" applyAlignment="1">
      <alignment vertical="center"/>
    </xf>
    <xf numFmtId="1" fontId="0" fillId="0" borderId="0" xfId="0" applyNumberFormat="1" applyAlignment="1">
      <alignment vertical="center"/>
    </xf>
    <xf numFmtId="2" fontId="0" fillId="0" borderId="5" xfId="0" quotePrefix="1" applyNumberFormat="1" applyBorder="1" applyAlignment="1">
      <alignment vertical="center"/>
    </xf>
    <xf numFmtId="1" fontId="14" fillId="0" borderId="0" xfId="0" applyNumberFormat="1" applyFont="1" applyAlignment="1">
      <alignment horizontal="right"/>
    </xf>
    <xf numFmtId="1" fontId="3" fillId="0" borderId="0" xfId="0" applyNumberFormat="1" applyFont="1" applyAlignment="1">
      <alignment vertical="center"/>
    </xf>
    <xf numFmtId="1" fontId="3" fillId="0" borderId="6" xfId="0" applyNumberFormat="1" applyFont="1" applyBorder="1" applyAlignment="1">
      <alignment vertical="center"/>
    </xf>
    <xf numFmtId="1" fontId="3" fillId="0" borderId="0" xfId="0" applyNumberFormat="1" applyFont="1"/>
    <xf numFmtId="1" fontId="3" fillId="0" borderId="6" xfId="0" applyNumberFormat="1" applyFont="1" applyBorder="1"/>
    <xf numFmtId="0" fontId="17" fillId="3" borderId="0" xfId="0" applyFont="1" applyFill="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0" xfId="0" quotePrefix="1" applyFont="1" applyFill="1" applyAlignment="1" applyProtection="1">
      <alignment horizontal="left" vertical="center" wrapText="1"/>
      <protection locked="0"/>
    </xf>
    <xf numFmtId="0" fontId="32" fillId="8" borderId="0" xfId="0" applyFont="1" applyFill="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49" fillId="0" borderId="0" xfId="2" applyFont="1" applyAlignment="1" applyProtection="1">
      <alignment horizontal="left" vertical="top" wrapText="1"/>
      <protection locked="0"/>
    </xf>
    <xf numFmtId="0" fontId="0" fillId="2" borderId="0" xfId="0" applyFill="1" applyAlignment="1" applyProtection="1">
      <alignment vertical="center"/>
    </xf>
    <xf numFmtId="0" fontId="14" fillId="2" borderId="0" xfId="0" applyFont="1" applyFill="1" applyAlignment="1" applyProtection="1">
      <alignment horizontal="left" vertical="center"/>
    </xf>
    <xf numFmtId="0" fontId="0" fillId="2" borderId="5" xfId="0" applyFill="1" applyBorder="1" applyAlignment="1" applyProtection="1">
      <alignment vertical="center"/>
    </xf>
    <xf numFmtId="0" fontId="29" fillId="2" borderId="5" xfId="4" applyFont="1" applyFill="1" applyBorder="1" applyAlignment="1" applyProtection="1">
      <alignment vertical="center"/>
      <protection locked="0"/>
    </xf>
    <xf numFmtId="0" fontId="14" fillId="2" borderId="5" xfId="0" applyFont="1" applyFill="1" applyBorder="1" applyAlignment="1" applyProtection="1">
      <alignment horizontal="left" vertical="center"/>
    </xf>
    <xf numFmtId="2" fontId="0" fillId="2" borderId="5" xfId="0" applyNumberFormat="1" applyFill="1" applyBorder="1" applyAlignment="1" applyProtection="1">
      <alignment vertical="center"/>
    </xf>
    <xf numFmtId="0" fontId="51" fillId="0" borderId="0" xfId="0" applyFont="1" applyAlignment="1" applyProtection="1">
      <alignment horizontal="left" vertical="center"/>
      <protection locked="0"/>
    </xf>
    <xf numFmtId="0" fontId="50" fillId="0" borderId="0" xfId="4" applyFont="1" applyFill="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cellXfs>
  <cellStyles count="6">
    <cellStyle name="Hyperlink" xfId="2" builtinId="8"/>
    <cellStyle name="Hyperlink 2" xfId="4" xr:uid="{CD965EF4-3A21-427B-BBC0-1F1A7D7382B6}"/>
    <cellStyle name="Input 2" xfId="3" xr:uid="{F855FEC2-D0D6-446C-A8B4-F862DBFFFACF}"/>
    <cellStyle name="Normal" xfId="0" builtinId="0"/>
    <cellStyle name="Percent" xfId="1" builtinId="5"/>
    <cellStyle name="Percent 2" xfId="5" xr:uid="{F568A3B3-3F12-46BE-8105-C1FE9F1B80E2}"/>
  </cellStyles>
  <dxfs count="11">
    <dxf>
      <font>
        <b val="0"/>
        <i/>
        <color rgb="FFB8E0C2"/>
      </font>
      <fill>
        <patternFill>
          <bgColor rgb="FF4C7870"/>
        </patternFill>
      </fill>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dxf>
  </dxfs>
  <tableStyles count="0" defaultTableStyle="TableStyleMedium2" defaultPivotStyle="PivotStyleLight16"/>
  <colors>
    <mruColors>
      <color rgb="FF4C7870"/>
      <color rgb="FFB8E0C2"/>
      <color rgb="FFF7BE4B"/>
      <color rgb="FFF2F2F2"/>
      <color rgb="FFFFFFFF"/>
      <color rgb="FFC2D8D4"/>
      <color rgb="FF5E948A"/>
      <color rgb="FF3F635C"/>
      <color rgb="FFC28080"/>
      <color rgb="FFB1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MTM compliance strategies [USD/tLSFOeq] </a:t>
            </a:r>
          </a:p>
        </c:rich>
      </c:tx>
      <c:layout>
        <c:manualLayout>
          <c:xMode val="edge"/>
          <c:yMode val="edge"/>
          <c:x val="0.24375690229985003"/>
          <c:y val="8.492118531488455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2885727195856764E-2"/>
          <c:y val="0.12085078991832149"/>
          <c:w val="0.90412248790049565"/>
          <c:h val="0.78538791372071526"/>
        </c:manualLayout>
      </c:layout>
      <c:lineChart>
        <c:grouping val="standard"/>
        <c:varyColors val="0"/>
        <c:ser>
          <c:idx val="0"/>
          <c:order val="0"/>
          <c:tx>
            <c:strRef>
              <c:f>'CCC Summary'!$G$53</c:f>
              <c:strCache>
                <c:ptCount val="1"/>
                <c:pt idx="0">
                  <c:v>Strategy 1: LSFO + bio-diesel (base case)</c:v>
                </c:pt>
              </c:strCache>
            </c:strRef>
          </c:tx>
          <c:spPr>
            <a:ln w="38100" cap="rnd">
              <a:solidFill>
                <a:schemeClr val="tx1">
                  <a:lumMod val="65000"/>
                  <a:lumOff val="35000"/>
                </a:schemeClr>
              </a:solidFill>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Summary'!$H$53:$AD$53</c:f>
              <c:numCache>
                <c:formatCode>0</c:formatCode>
                <c:ptCount val="23"/>
                <c:pt idx="0">
                  <c:v>639.36189401402441</c:v>
                </c:pt>
                <c:pt idx="1">
                  <c:v>667.38451273762439</c:v>
                </c:pt>
                <c:pt idx="2">
                  <c:v>695.08352422308531</c:v>
                </c:pt>
                <c:pt idx="3">
                  <c:v>731.58673589253237</c:v>
                </c:pt>
                <c:pt idx="4">
                  <c:v>801.84465277440142</c:v>
                </c:pt>
                <c:pt idx="5">
                  <c:v>883.41756210782637</c:v>
                </c:pt>
                <c:pt idx="6">
                  <c:v>972.56080167377047</c:v>
                </c:pt>
                <c:pt idx="7">
                  <c:v>1067.3551266155914</c:v>
                </c:pt>
                <c:pt idx="8">
                  <c:v>1166.1738348292365</c:v>
                </c:pt>
                <c:pt idx="9">
                  <c:v>1280.7856888439471</c:v>
                </c:pt>
                <c:pt idx="10">
                  <c:v>1403.3808001947684</c:v>
                </c:pt>
                <c:pt idx="11">
                  <c:v>1672.520794904744</c:v>
                </c:pt>
                <c:pt idx="12">
                  <c:v>1819.065678263898</c:v>
                </c:pt>
                <c:pt idx="13">
                  <c:v>1916.7951813050124</c:v>
                </c:pt>
                <c:pt idx="14">
                  <c:v>2018.4868182210687</c:v>
                </c:pt>
                <c:pt idx="15">
                  <c:v>2124.1405890120668</c:v>
                </c:pt>
                <c:pt idx="16">
                  <c:v>2233.7564936780059</c:v>
                </c:pt>
                <c:pt idx="17">
                  <c:v>2347.3345322188875</c:v>
                </c:pt>
                <c:pt idx="18">
                  <c:v>2461.9025811271194</c:v>
                </c:pt>
                <c:pt idx="19">
                  <c:v>2580.3049531401343</c:v>
                </c:pt>
                <c:pt idx="20">
                  <c:v>2675.7305417046127</c:v>
                </c:pt>
                <c:pt idx="21">
                  <c:v>2740.2171688877766</c:v>
                </c:pt>
                <c:pt idx="22">
                  <c:v>2804.7037960709408</c:v>
                </c:pt>
              </c:numCache>
            </c:numRef>
          </c:val>
          <c:smooth val="0"/>
          <c:extLst>
            <c:ext xmlns:c16="http://schemas.microsoft.com/office/drawing/2014/chart" uri="{C3380CC4-5D6E-409C-BE32-E72D297353CC}">
              <c16:uniqueId val="{00000000-5B68-4179-B4EA-EAD3A89C284E}"/>
            </c:ext>
          </c:extLst>
        </c:ser>
        <c:ser>
          <c:idx val="1"/>
          <c:order val="1"/>
          <c:tx>
            <c:strRef>
              <c:f>'CCC Summary'!$G$54</c:f>
              <c:strCache>
                <c:ptCount val="1"/>
                <c:pt idx="0">
                  <c:v>Strategy 2: LNG + bio-methane</c:v>
                </c:pt>
              </c:strCache>
            </c:strRef>
          </c:tx>
          <c:spPr>
            <a:ln w="38100" cap="rnd">
              <a:solidFill>
                <a:schemeClr val="bg1">
                  <a:lumMod val="65000"/>
                </a:schemeClr>
              </a:solidFill>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Summary'!$H$54:$AD$54</c:f>
              <c:numCache>
                <c:formatCode>0</c:formatCode>
                <c:ptCount val="23"/>
                <c:pt idx="0">
                  <c:v>488.7743347228764</c:v>
                </c:pt>
                <c:pt idx="1">
                  <c:v>489.31702057747475</c:v>
                </c:pt>
                <c:pt idx="2">
                  <c:v>508.03794309291811</c:v>
                </c:pt>
                <c:pt idx="3">
                  <c:v>484.42216003582899</c:v>
                </c:pt>
                <c:pt idx="4">
                  <c:v>505.32314798831356</c:v>
                </c:pt>
                <c:pt idx="5">
                  <c:v>573.09933191919197</c:v>
                </c:pt>
                <c:pt idx="6">
                  <c:v>678.05658332318012</c:v>
                </c:pt>
                <c:pt idx="7">
                  <c:v>786.03943216867833</c:v>
                </c:pt>
                <c:pt idx="8">
                  <c:v>892.82725264842611</c:v>
                </c:pt>
                <c:pt idx="9">
                  <c:v>1019.2024386791321</c:v>
                </c:pt>
                <c:pt idx="10">
                  <c:v>1152.0419204007055</c:v>
                </c:pt>
                <c:pt idx="11">
                  <c:v>1436.3494439629496</c:v>
                </c:pt>
                <c:pt idx="12">
                  <c:v>1587.5809936430417</c:v>
                </c:pt>
                <c:pt idx="13">
                  <c:v>1687.0986853947984</c:v>
                </c:pt>
                <c:pt idx="14">
                  <c:v>1790.1800412796554</c:v>
                </c:pt>
                <c:pt idx="15">
                  <c:v>1896.8266937036353</c:v>
                </c:pt>
                <c:pt idx="16">
                  <c:v>2006.9532360002713</c:v>
                </c:pt>
                <c:pt idx="17">
                  <c:v>2120.5812577303996</c:v>
                </c:pt>
                <c:pt idx="18">
                  <c:v>2245.4947213707346</c:v>
                </c:pt>
                <c:pt idx="19">
                  <c:v>2374.4139272915127</c:v>
                </c:pt>
                <c:pt idx="20">
                  <c:v>2507.2411755289404</c:v>
                </c:pt>
                <c:pt idx="21">
                  <c:v>2644.0328135177756</c:v>
                </c:pt>
                <c:pt idx="22">
                  <c:v>2784.3868084910459</c:v>
                </c:pt>
              </c:numCache>
            </c:numRef>
          </c:val>
          <c:smooth val="0"/>
          <c:extLst>
            <c:ext xmlns:c16="http://schemas.microsoft.com/office/drawing/2014/chart" uri="{C3380CC4-5D6E-409C-BE32-E72D297353CC}">
              <c16:uniqueId val="{00000001-5B68-4179-B4EA-EAD3A89C284E}"/>
            </c:ext>
          </c:extLst>
        </c:ser>
        <c:ser>
          <c:idx val="2"/>
          <c:order val="2"/>
          <c:tx>
            <c:strRef>
              <c:f>'CCC Summary'!$G$55</c:f>
              <c:strCache>
                <c:ptCount val="1"/>
                <c:pt idx="0">
                  <c:v>Strategy 3: LSFO + ZNZ</c:v>
                </c:pt>
              </c:strCache>
            </c:strRef>
          </c:tx>
          <c:spPr>
            <a:ln w="38100" cap="rnd">
              <a:solidFill>
                <a:srgbClr val="5E948A"/>
              </a:solidFill>
              <a:prstDash val="sysDash"/>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Summary'!$H$55:$AD$55</c:f>
              <c:numCache>
                <c:formatCode>0</c:formatCode>
                <c:ptCount val="23"/>
                <c:pt idx="0">
                  <c:v>603.61802051606992</c:v>
                </c:pt>
                <c:pt idx="1">
                  <c:v>585.68519843347156</c:v>
                </c:pt>
                <c:pt idx="2">
                  <c:v>582.68270274873487</c:v>
                </c:pt>
                <c:pt idx="3">
                  <c:v>588.08015216363572</c:v>
                </c:pt>
                <c:pt idx="4">
                  <c:v>619.47122045293679</c:v>
                </c:pt>
                <c:pt idx="5">
                  <c:v>669.73920339563062</c:v>
                </c:pt>
                <c:pt idx="6">
                  <c:v>741.11887976138405</c:v>
                </c:pt>
                <c:pt idx="7">
                  <c:v>831.69100469355544</c:v>
                </c:pt>
                <c:pt idx="8">
                  <c:v>942.73073453349082</c:v>
                </c:pt>
                <c:pt idx="9">
                  <c:v>1018.7000102444675</c:v>
                </c:pt>
                <c:pt idx="10">
                  <c:v>1101.3482580565574</c:v>
                </c:pt>
                <c:pt idx="11">
                  <c:v>1286.6816699840772</c:v>
                </c:pt>
                <c:pt idx="12">
                  <c:v>1389.3668340995075</c:v>
                </c:pt>
                <c:pt idx="13">
                  <c:v>1427.6647654619567</c:v>
                </c:pt>
                <c:pt idx="14">
                  <c:v>1466.4386695488531</c:v>
                </c:pt>
                <c:pt idx="15">
                  <c:v>1505.6885463601964</c:v>
                </c:pt>
                <c:pt idx="16">
                  <c:v>1545.4143958959871</c:v>
                </c:pt>
                <c:pt idx="17">
                  <c:v>1585.6162181562252</c:v>
                </c:pt>
                <c:pt idx="18">
                  <c:v>1624.2958509474815</c:v>
                </c:pt>
                <c:pt idx="19">
                  <c:v>1663.4361025043324</c:v>
                </c:pt>
                <c:pt idx="20">
                  <c:v>1703.0369728267772</c:v>
                </c:pt>
                <c:pt idx="21">
                  <c:v>1743.0984619148157</c:v>
                </c:pt>
                <c:pt idx="22">
                  <c:v>1783.6205697684486</c:v>
                </c:pt>
              </c:numCache>
            </c:numRef>
          </c:val>
          <c:smooth val="0"/>
          <c:extLst>
            <c:ext xmlns:c16="http://schemas.microsoft.com/office/drawing/2014/chart" uri="{C3380CC4-5D6E-409C-BE32-E72D297353CC}">
              <c16:uniqueId val="{00000002-5B68-4179-B4EA-EAD3A89C284E}"/>
            </c:ext>
          </c:extLst>
        </c:ser>
        <c:ser>
          <c:idx val="3"/>
          <c:order val="3"/>
          <c:tx>
            <c:strRef>
              <c:f>'CCC Summary'!$G$56</c:f>
              <c:strCache>
                <c:ptCount val="1"/>
                <c:pt idx="0">
                  <c:v>Strategy 4: 100% ZNZ</c:v>
                </c:pt>
              </c:strCache>
            </c:strRef>
          </c:tx>
          <c:spPr>
            <a:ln w="38100" cap="rnd">
              <a:solidFill>
                <a:srgbClr val="5E948A"/>
              </a:solidFill>
              <a:round/>
            </a:ln>
            <a:effectLst/>
          </c:spPr>
          <c:marker>
            <c:symbol val="none"/>
          </c:marker>
          <c:cat>
            <c:numRef>
              <c:f>'CCC Summary'!$H$52:$AD$52</c:f>
              <c:numCache>
                <c:formatCode>General</c:formatCode>
                <c:ptCount val="23"/>
                <c:pt idx="0">
                  <c:v>2027</c:v>
                </c:pt>
                <c:pt idx="1">
                  <c:v>2028</c:v>
                </c:pt>
                <c:pt idx="2">
                  <c:v>2029</c:v>
                </c:pt>
                <c:pt idx="3">
                  <c:v>2030</c:v>
                </c:pt>
                <c:pt idx="4">
                  <c:v>2031</c:v>
                </c:pt>
                <c:pt idx="5">
                  <c:v>2032</c:v>
                </c:pt>
                <c:pt idx="6">
                  <c:v>2033</c:v>
                </c:pt>
                <c:pt idx="7">
                  <c:v>2034</c:v>
                </c:pt>
                <c:pt idx="8">
                  <c:v>2035</c:v>
                </c:pt>
                <c:pt idx="9">
                  <c:v>2036</c:v>
                </c:pt>
                <c:pt idx="10">
                  <c:v>2037</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Summary'!$H$56:$AD$56</c:f>
              <c:numCache>
                <c:formatCode>0</c:formatCode>
                <c:ptCount val="23"/>
                <c:pt idx="0">
                  <c:v>-410.48417577994417</c:v>
                </c:pt>
                <c:pt idx="1">
                  <c:v>-425.97198471005106</c:v>
                </c:pt>
                <c:pt idx="2">
                  <c:v>-421.81210924681295</c:v>
                </c:pt>
                <c:pt idx="3">
                  <c:v>-251.09608659826279</c:v>
                </c:pt>
                <c:pt idx="4">
                  <c:v>-57.353782027228135</c:v>
                </c:pt>
                <c:pt idx="5">
                  <c:v>143.9588527763259</c:v>
                </c:pt>
                <c:pt idx="6">
                  <c:v>352.84181781239829</c:v>
                </c:pt>
                <c:pt idx="7">
                  <c:v>562.25478232667115</c:v>
                </c:pt>
                <c:pt idx="8">
                  <c:v>785.93430190812182</c:v>
                </c:pt>
                <c:pt idx="9">
                  <c:v>894.72601723493096</c:v>
                </c:pt>
                <c:pt idx="10">
                  <c:v>1010.9504204263949</c:v>
                </c:pt>
                <c:pt idx="11">
                  <c:v>1265.6972904032878</c:v>
                </c:pt>
                <c:pt idx="12">
                  <c:v>1404.2197571887159</c:v>
                </c:pt>
                <c:pt idx="13">
                  <c:v>1443.3627908187034</c:v>
                </c:pt>
                <c:pt idx="14">
                  <c:v>1485.1898506220386</c:v>
                </c:pt>
                <c:pt idx="15">
                  <c:v>1529.7009365987212</c:v>
                </c:pt>
                <c:pt idx="16">
                  <c:v>1576.8960487487516</c:v>
                </c:pt>
                <c:pt idx="17">
                  <c:v>1626.7751870721293</c:v>
                </c:pt>
                <c:pt idx="18">
                  <c:v>1673.514420978343</c:v>
                </c:pt>
                <c:pt idx="19">
                  <c:v>1721.8793913657162</c:v>
                </c:pt>
                <c:pt idx="20">
                  <c:v>1770.2443617530896</c:v>
                </c:pt>
                <c:pt idx="21">
                  <c:v>1818.6093321404626</c:v>
                </c:pt>
                <c:pt idx="22">
                  <c:v>1866.9743025278353</c:v>
                </c:pt>
              </c:numCache>
            </c:numRef>
          </c:val>
          <c:smooth val="0"/>
          <c:extLst>
            <c:ext xmlns:c16="http://schemas.microsoft.com/office/drawing/2014/chart" uri="{C3380CC4-5D6E-409C-BE32-E72D297353CC}">
              <c16:uniqueId val="{00000003-5B68-4179-B4EA-EAD3A89C284E}"/>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0.13069251429761633"/>
          <c:y val="0.12700529582725623"/>
          <c:w val="0.29805437724158595"/>
          <c:h val="0.1836144752828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Summary'!$G$58</c:f>
          <c:strCache>
            <c:ptCount val="1"/>
            <c:pt idx="0">
              <c:v>2033 - Strategy 1: LSFO + bio-diesel (base case)</c:v>
            </c:pt>
          </c:strCache>
        </c:strRef>
      </c:tx>
      <c:layout>
        <c:manualLayout>
          <c:xMode val="edge"/>
          <c:yMode val="edge"/>
          <c:x val="9.7792882217229593E-2"/>
          <c:y val="6.1759490403760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585785727691257E-2"/>
          <c:y val="0.21001316461504427"/>
          <c:w val="0.9691768086000887"/>
          <c:h val="0.59467352065757861"/>
        </c:manualLayout>
      </c:layout>
      <c:barChart>
        <c:barDir val="col"/>
        <c:grouping val="stacked"/>
        <c:varyColors val="0"/>
        <c:ser>
          <c:idx val="1"/>
          <c:order val="0"/>
          <c:tx>
            <c:strRef>
              <c:f>'CCC Summary'!$G$59</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Summary'!$H$59</c:f>
              <c:numCache>
                <c:formatCode>0</c:formatCode>
                <c:ptCount val="1"/>
                <c:pt idx="0">
                  <c:v>547.6718446601941</c:v>
                </c:pt>
              </c:numCache>
            </c:numRef>
          </c:val>
          <c:extLst>
            <c:ext xmlns:c16="http://schemas.microsoft.com/office/drawing/2014/chart" uri="{C3380CC4-5D6E-409C-BE32-E72D297353CC}">
              <c16:uniqueId val="{00000000-9734-4394-993F-6F1AC21F52B6}"/>
            </c:ext>
          </c:extLst>
        </c:ser>
        <c:ser>
          <c:idx val="2"/>
          <c:order val="1"/>
          <c:tx>
            <c:strRef>
              <c:f>'CCC Summary'!$G$60</c:f>
              <c:strCache>
                <c:ptCount val="1"/>
                <c:pt idx="0">
                  <c:v>GFS (Bio-diesel or RU)</c:v>
                </c:pt>
              </c:strCache>
            </c:strRef>
          </c:tx>
          <c:spPr>
            <a:solidFill>
              <a:srgbClr val="FAC8C2"/>
            </a:solidFill>
            <a:ln>
              <a:noFill/>
            </a:ln>
            <a:effectLst/>
          </c:spPr>
          <c:invertIfNegative val="0"/>
          <c:dLbls>
            <c:spPr>
              <a:solidFill>
                <a:srgbClr val="FAC8C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Summary'!$H$60</c:f>
              <c:numCache>
                <c:formatCode>0</c:formatCode>
                <c:ptCount val="1"/>
                <c:pt idx="0">
                  <c:v>374.98859074088983</c:v>
                </c:pt>
              </c:numCache>
            </c:numRef>
          </c:val>
          <c:extLst>
            <c:ext xmlns:c16="http://schemas.microsoft.com/office/drawing/2014/chart" uri="{C3380CC4-5D6E-409C-BE32-E72D297353CC}">
              <c16:uniqueId val="{00000001-9734-4394-993F-6F1AC21F52B6}"/>
            </c:ext>
          </c:extLst>
        </c:ser>
        <c:ser>
          <c:idx val="4"/>
          <c:order val="2"/>
          <c:tx>
            <c:strRef>
              <c:f>'CCC Summary'!$G$61</c:f>
              <c:strCache>
                <c:ptCount val="1"/>
                <c:pt idx="0">
                  <c:v>GFS Lower Tier (Bio or Lower RU)</c:v>
                </c:pt>
              </c:strCache>
            </c:strRef>
          </c:tx>
          <c:spPr>
            <a:solidFill>
              <a:srgbClr val="F8AEA6"/>
            </a:solidFill>
            <a:ln>
              <a:noFill/>
            </a:ln>
            <a:effectLst/>
          </c:spPr>
          <c:invertIfNegative val="0"/>
          <c:dLbls>
            <c:dLbl>
              <c:idx val="0"/>
              <c:layout>
                <c:manualLayout>
                  <c:x val="0.10691183264906129"/>
                  <c:y val="-2.1679280480044138E-3"/>
                </c:manualLayout>
              </c:layout>
              <c:spPr>
                <a:solidFill>
                  <a:srgbClr val="F8AEA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4-4394-993F-6F1AC21F52B6}"/>
                </c:ext>
              </c:extLst>
            </c:dLbl>
            <c:spPr>
              <a:solidFill>
                <a:srgbClr val="F8AEA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Summary'!$H$61</c:f>
              <c:numCache>
                <c:formatCode>0</c:formatCode>
                <c:ptCount val="1"/>
                <c:pt idx="0">
                  <c:v>49.900366272686526</c:v>
                </c:pt>
              </c:numCache>
            </c:numRef>
          </c:val>
          <c:extLst>
            <c:ext xmlns:c16="http://schemas.microsoft.com/office/drawing/2014/chart" uri="{C3380CC4-5D6E-409C-BE32-E72D297353CC}">
              <c16:uniqueId val="{00000003-9734-4394-993F-6F1AC21F52B6}"/>
            </c:ext>
          </c:extLst>
        </c:ser>
        <c:ser>
          <c:idx val="3"/>
          <c:order val="3"/>
          <c:tx>
            <c:strRef>
              <c:f>'CCC Summary'!$G$62</c:f>
              <c:strCache>
                <c:ptCount val="1"/>
                <c:pt idx="0">
                  <c:v>Levy</c:v>
                </c:pt>
              </c:strCache>
            </c:strRef>
          </c:tx>
          <c:spPr>
            <a:solidFill>
              <a:srgbClr val="F7BE4B"/>
            </a:solidFill>
            <a:ln>
              <a:noFill/>
            </a:ln>
            <a:effectLst/>
          </c:spPr>
          <c:invertIfNegative val="0"/>
          <c:dLbls>
            <c:dLbl>
              <c:idx val="0"/>
              <c:layout>
                <c:manualLayout>
                  <c:x val="-0.1635122146397408"/>
                  <c:y val="-7.94897768208102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34-4394-993F-6F1AC21F52B6}"/>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Summary'!$H$62</c:f>
              <c:numCache>
                <c:formatCode>0</c:formatCode>
                <c:ptCount val="1"/>
                <c:pt idx="0">
                  <c:v>0</c:v>
                </c:pt>
              </c:numCache>
            </c:numRef>
          </c:val>
          <c:extLst>
            <c:ext xmlns:c16="http://schemas.microsoft.com/office/drawing/2014/chart" uri="{C3380CC4-5D6E-409C-BE32-E72D297353CC}">
              <c16:uniqueId val="{00000005-9734-4394-993F-6F1AC21F52B6}"/>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4"/>
          <c:tx>
            <c:strRef>
              <c:f>'CCC Summary'!$G$63</c:f>
              <c:strCache>
                <c:ptCount val="1"/>
                <c:pt idx="0">
                  <c:v>Total S1</c:v>
                </c:pt>
              </c:strCache>
            </c:strRef>
          </c:tx>
          <c:spPr>
            <a:ln w="28575" cap="rnd">
              <a:solidFill>
                <a:schemeClr val="accent1"/>
              </a:solidFill>
              <a:round/>
            </a:ln>
            <a:effectLst/>
          </c:spPr>
          <c:marker>
            <c:symbol val="none"/>
          </c:marker>
          <c:val>
            <c:numRef>
              <c:f>'CCC Summary'!$H$63</c:f>
              <c:numCache>
                <c:formatCode>0</c:formatCode>
                <c:ptCount val="1"/>
                <c:pt idx="0">
                  <c:v>972.56080167377047</c:v>
                </c:pt>
              </c:numCache>
            </c:numRef>
          </c:val>
          <c:smooth val="0"/>
          <c:extLst>
            <c:ext xmlns:c16="http://schemas.microsoft.com/office/drawing/2014/chart" uri="{C3380CC4-5D6E-409C-BE32-E72D297353CC}">
              <c16:uniqueId val="{00000006-9734-4394-993F-6F1AC21F52B6}"/>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4"/>
        <c:delete val="1"/>
      </c:legendEntry>
      <c:layout>
        <c:manualLayout>
          <c:xMode val="edge"/>
          <c:yMode val="edge"/>
          <c:x val="3.5978629518064839E-2"/>
          <c:y val="0.8329009904997865"/>
          <c:w val="0.93074549586242794"/>
          <c:h val="0.16242833215844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Summary'!$J$58</c:f>
          <c:strCache>
            <c:ptCount val="1"/>
            <c:pt idx="0">
              <c:v>2033 - Strategy 2: LNG + bio-methane</c:v>
            </c:pt>
          </c:strCache>
        </c:strRef>
      </c:tx>
      <c:layout>
        <c:manualLayout>
          <c:xMode val="edge"/>
          <c:yMode val="edge"/>
          <c:x val="8.8666580505363538E-2"/>
          <c:y val="6.52994770471581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21441288099273259"/>
          <c:w val="0.98804358566667572"/>
          <c:h val="0.59063348353817546"/>
        </c:manualLayout>
      </c:layout>
      <c:barChart>
        <c:barDir val="col"/>
        <c:grouping val="stacked"/>
        <c:varyColors val="0"/>
        <c:ser>
          <c:idx val="3"/>
          <c:order val="0"/>
          <c:tx>
            <c:strRef>
              <c:f>'CCC Summary'!$J$62</c:f>
              <c:strCache>
                <c:ptCount val="1"/>
                <c:pt idx="0">
                  <c:v>GFS Surplus</c:v>
                </c:pt>
              </c:strCache>
            </c:strRef>
          </c:tx>
          <c:spPr>
            <a:pattFill prst="dkDnDiag">
              <a:fgClr>
                <a:schemeClr val="bg1">
                  <a:lumMod val="65000"/>
                </a:schemeClr>
              </a:fgClr>
              <a:bgClr>
                <a:schemeClr val="bg1"/>
              </a:bgClr>
            </a:pattFill>
            <a:ln>
              <a:noFill/>
            </a:ln>
            <a:effectLst/>
          </c:spPr>
          <c:invertIfNegative val="0"/>
          <c:dLbls>
            <c:dLbl>
              <c:idx val="0"/>
              <c:numFmt formatCode="\-\ #,##0" sourceLinked="0"/>
              <c:spPr>
                <a:pattFill prst="dkDnDiag">
                  <a:fgClr>
                    <a:schemeClr val="bg1">
                      <a:lumMod val="85000"/>
                    </a:schemeClr>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C2D-4911-A4F5-4BEF7AFF1EF0}"/>
                </c:ext>
              </c:extLst>
            </c:dLbl>
            <c:numFmt formatCode="\-\ #,##0" sourceLinked="0"/>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Summary'!$K$62</c:f>
              <c:numCache>
                <c:formatCode>0</c:formatCode>
                <c:ptCount val="1"/>
                <c:pt idx="0">
                  <c:v>0</c:v>
                </c:pt>
              </c:numCache>
            </c:numRef>
          </c:val>
          <c:extLst>
            <c:ext xmlns:c16="http://schemas.microsoft.com/office/drawing/2014/chart" uri="{C3380CC4-5D6E-409C-BE32-E72D297353CC}">
              <c16:uniqueId val="{00000001-AC2D-4911-A4F5-4BEF7AFF1EF0}"/>
            </c:ext>
          </c:extLst>
        </c:ser>
        <c:ser>
          <c:idx val="1"/>
          <c:order val="1"/>
          <c:tx>
            <c:strRef>
              <c:f>'CCC Summary'!$J$59</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AC2D-4911-A4F5-4BEF7AFF1E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Summary'!$K$59</c:f>
              <c:numCache>
                <c:formatCode>0</c:formatCode>
                <c:ptCount val="1"/>
                <c:pt idx="0">
                  <c:v>463.75034041896919</c:v>
                </c:pt>
              </c:numCache>
            </c:numRef>
          </c:val>
          <c:extLst>
            <c:ext xmlns:c16="http://schemas.microsoft.com/office/drawing/2014/chart" uri="{C3380CC4-5D6E-409C-BE32-E72D297353CC}">
              <c16:uniqueId val="{00000004-AC2D-4911-A4F5-4BEF7AFF1EF0}"/>
            </c:ext>
          </c:extLst>
        </c:ser>
        <c:ser>
          <c:idx val="2"/>
          <c:order val="2"/>
          <c:tx>
            <c:strRef>
              <c:f>'CCC Summary'!$J$60</c:f>
              <c:strCache>
                <c:ptCount val="1"/>
                <c:pt idx="0">
                  <c:v>GFS (Bio-methane or RU)</c:v>
                </c:pt>
              </c:strCache>
            </c:strRef>
          </c:tx>
          <c:spPr>
            <a:solidFill>
              <a:srgbClr val="C28080"/>
            </a:solidFill>
            <a:ln>
              <a:noFill/>
            </a:ln>
            <a:effectLst/>
          </c:spPr>
          <c:invertIfNegative val="0"/>
          <c:dLbls>
            <c:spPr>
              <a:solidFill>
                <a:srgbClr val="C2808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Summary'!$K$60</c:f>
              <c:numCache>
                <c:formatCode>0</c:formatCode>
                <c:ptCount val="1"/>
                <c:pt idx="0">
                  <c:v>164.40587663152442</c:v>
                </c:pt>
              </c:numCache>
            </c:numRef>
          </c:val>
          <c:extLst>
            <c:ext xmlns:c16="http://schemas.microsoft.com/office/drawing/2014/chart" uri="{C3380CC4-5D6E-409C-BE32-E72D297353CC}">
              <c16:uniqueId val="{00000005-AC2D-4911-A4F5-4BEF7AFF1EF0}"/>
            </c:ext>
          </c:extLst>
        </c:ser>
        <c:ser>
          <c:idx val="5"/>
          <c:order val="3"/>
          <c:tx>
            <c:strRef>
              <c:f>'CCC Summary'!$J$61</c:f>
              <c:strCache>
                <c:ptCount val="1"/>
                <c:pt idx="0">
                  <c:v>GFS Lower Tier (Bio or Lower RU)</c:v>
                </c:pt>
              </c:strCache>
            </c:strRef>
          </c:tx>
          <c:spPr>
            <a:solidFill>
              <a:srgbClr val="B15B5B"/>
            </a:solidFill>
            <a:ln>
              <a:noFill/>
            </a:ln>
            <a:effectLst/>
          </c:spPr>
          <c:invertIfNegative val="0"/>
          <c:dLbls>
            <c:dLbl>
              <c:idx val="0"/>
              <c:layout>
                <c:manualLayout>
                  <c:x val="0.11175304337305003"/>
                  <c:y val="-4.3030892792765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C5-94E0-9B115DBAD62B}"/>
                </c:ext>
              </c:extLst>
            </c:dLbl>
            <c:spPr>
              <a:solidFill>
                <a:srgbClr val="B15B5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Summary'!$K$61</c:f>
              <c:numCache>
                <c:formatCode>0</c:formatCode>
                <c:ptCount val="1"/>
                <c:pt idx="0">
                  <c:v>49.900366272686533</c:v>
                </c:pt>
              </c:numCache>
            </c:numRef>
          </c:val>
          <c:extLst>
            <c:ext xmlns:c16="http://schemas.microsoft.com/office/drawing/2014/chart" uri="{C3380CC4-5D6E-409C-BE32-E72D297353CC}">
              <c16:uniqueId val="{00000006-AC2D-4911-A4F5-4BEF7AFF1EF0}"/>
            </c:ext>
          </c:extLst>
        </c:ser>
        <c:ser>
          <c:idx val="0"/>
          <c:order val="4"/>
          <c:tx>
            <c:strRef>
              <c:f>'CCC Summary'!$J$63</c:f>
              <c:strCache>
                <c:ptCount val="1"/>
                <c:pt idx="0">
                  <c:v>Levy</c:v>
                </c:pt>
              </c:strCache>
            </c:strRef>
          </c:tx>
          <c:spPr>
            <a:solidFill>
              <a:srgbClr val="F7BE4B"/>
            </a:solidFill>
            <a:ln>
              <a:noFill/>
            </a:ln>
            <a:effectLst/>
          </c:spPr>
          <c:invertIfNegative val="0"/>
          <c:dLbls>
            <c:dLbl>
              <c:idx val="0"/>
              <c:layout>
                <c:manualLayout>
                  <c:x val="-0.1540569599542429"/>
                  <c:y val="-2.15154463963837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FD-4DC5-94E0-9B115DBAD62B}"/>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Summary'!$K$63</c:f>
              <c:numCache>
                <c:formatCode>0</c:formatCode>
                <c:ptCount val="1"/>
                <c:pt idx="0">
                  <c:v>0</c:v>
                </c:pt>
              </c:numCache>
            </c:numRef>
          </c:val>
          <c:extLst>
            <c:ext xmlns:c16="http://schemas.microsoft.com/office/drawing/2014/chart" uri="{C3380CC4-5D6E-409C-BE32-E72D297353CC}">
              <c16:uniqueId val="{00000007-AC2D-4911-A4F5-4BEF7AFF1EF0}"/>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5"/>
          <c:tx>
            <c:strRef>
              <c:f>'CCC Summary'!$J$64</c:f>
              <c:strCache>
                <c:ptCount val="1"/>
                <c:pt idx="0">
                  <c:v>Total S2</c:v>
                </c:pt>
              </c:strCache>
            </c:strRef>
          </c:tx>
          <c:spPr>
            <a:ln w="28575" cap="rnd">
              <a:solidFill>
                <a:schemeClr val="accent5"/>
              </a:solidFill>
              <a:round/>
            </a:ln>
            <a:effectLst/>
          </c:spPr>
          <c:marker>
            <c:symbol val="none"/>
          </c:marker>
          <c:dLbls>
            <c:delete val="1"/>
          </c:dLbls>
          <c:val>
            <c:numRef>
              <c:f>'CCC Summary'!$K$64</c:f>
              <c:numCache>
                <c:formatCode>0</c:formatCode>
                <c:ptCount val="1"/>
                <c:pt idx="0">
                  <c:v>678.05658332318012</c:v>
                </c:pt>
              </c:numCache>
            </c:numRef>
          </c:val>
          <c:smooth val="0"/>
          <c:extLst>
            <c:ext xmlns:c16="http://schemas.microsoft.com/office/drawing/2014/chart" uri="{C3380CC4-5D6E-409C-BE32-E72D297353CC}">
              <c16:uniqueId val="{00000008-AC2D-4911-A4F5-4BEF7AFF1EF0}"/>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4.4888770091789125E-3"/>
          <c:y val="0.81454502580543908"/>
          <c:w val="0.99551112299082112"/>
          <c:h val="0.18303595237841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Summary'!$M$58</c:f>
          <c:strCache>
            <c:ptCount val="1"/>
            <c:pt idx="0">
              <c:v>2033 - Strategy 3: LSFO + ZNZ</c:v>
            </c:pt>
          </c:strCache>
        </c:strRef>
      </c:tx>
      <c:layout>
        <c:manualLayout>
          <c:xMode val="edge"/>
          <c:yMode val="edge"/>
          <c:x val="0.12297426550432018"/>
          <c:y val="6.09630331178447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93610090441258E-3"/>
          <c:y val="0.21480632052051024"/>
          <c:w val="0.98804358566667572"/>
          <c:h val="0.59109023766367952"/>
        </c:manualLayout>
      </c:layout>
      <c:barChart>
        <c:barDir val="col"/>
        <c:grouping val="stacked"/>
        <c:varyColors val="0"/>
        <c:ser>
          <c:idx val="3"/>
          <c:order val="0"/>
          <c:tx>
            <c:strRef>
              <c:f>'CCC Summary'!$M$63</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1-009D-4ED4-B0F3-86CEE7A2EB77}"/>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ED4-B0F3-86CEE7A2EB77}"/>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Summary'!$N$63</c:f>
              <c:numCache>
                <c:formatCode>0</c:formatCode>
                <c:ptCount val="1"/>
                <c:pt idx="0">
                  <c:v>-214.95542394388085</c:v>
                </c:pt>
              </c:numCache>
            </c:numRef>
          </c:val>
          <c:extLst>
            <c:ext xmlns:c16="http://schemas.microsoft.com/office/drawing/2014/chart" uri="{C3380CC4-5D6E-409C-BE32-E72D297353CC}">
              <c16:uniqueId val="{00000002-009D-4ED4-B0F3-86CEE7A2EB77}"/>
            </c:ext>
          </c:extLst>
        </c:ser>
        <c:ser>
          <c:idx val="1"/>
          <c:order val="1"/>
          <c:tx>
            <c:strRef>
              <c:f>'CCC Summary'!$M$59</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Summary'!$N$59</c:f>
              <c:numCache>
                <c:formatCode>0</c:formatCode>
                <c:ptCount val="1"/>
                <c:pt idx="0">
                  <c:v>547.6718446601941</c:v>
                </c:pt>
              </c:numCache>
            </c:numRef>
          </c:val>
          <c:extLst>
            <c:ext xmlns:c16="http://schemas.microsoft.com/office/drawing/2014/chart" uri="{C3380CC4-5D6E-409C-BE32-E72D297353CC}">
              <c16:uniqueId val="{00000003-009D-4ED4-B0F3-86CEE7A2EB77}"/>
            </c:ext>
          </c:extLst>
        </c:ser>
        <c:ser>
          <c:idx val="2"/>
          <c:order val="2"/>
          <c:tx>
            <c:strRef>
              <c:f>'CCC Summary'!$M$60</c:f>
              <c:strCache>
                <c:ptCount val="1"/>
                <c:pt idx="0">
                  <c:v>GFS (ZNZ or RU)</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Summary'!$N$60</c:f>
              <c:numCache>
                <c:formatCode>0</c:formatCode>
                <c:ptCount val="1"/>
                <c:pt idx="0">
                  <c:v>358.50209277238434</c:v>
                </c:pt>
              </c:numCache>
            </c:numRef>
          </c:val>
          <c:extLst>
            <c:ext xmlns:c16="http://schemas.microsoft.com/office/drawing/2014/chart" uri="{C3380CC4-5D6E-409C-BE32-E72D297353CC}">
              <c16:uniqueId val="{00000004-009D-4ED4-B0F3-86CEE7A2EB77}"/>
            </c:ext>
          </c:extLst>
        </c:ser>
        <c:ser>
          <c:idx val="5"/>
          <c:order val="3"/>
          <c:tx>
            <c:strRef>
              <c:f>'CCC Summary'!$M$61</c:f>
              <c:strCache>
                <c:ptCount val="1"/>
                <c:pt idx="0">
                  <c:v>GFS Lower Tier (ZNZ or Lower RU)</c:v>
                </c:pt>
              </c:strCache>
            </c:strRef>
          </c:tx>
          <c:spPr>
            <a:solidFill>
              <a:srgbClr val="3F635C"/>
            </a:solidFill>
            <a:ln>
              <a:noFill/>
            </a:ln>
            <a:effectLst/>
          </c:spPr>
          <c:invertIfNegative val="0"/>
          <c:dLbls>
            <c:dLbl>
              <c:idx val="0"/>
              <c:layout>
                <c:manualLayout>
                  <c:x val="8.917720734904451E-2"/>
                  <c:y val="-4.32897407915989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ED4-B0F3-86CEE7A2EB77}"/>
                </c:ext>
              </c:extLst>
            </c:dLbl>
            <c:spPr>
              <a:solidFill>
                <a:srgbClr val="3F635C"/>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Summary'!$N$61</c:f>
              <c:numCache>
                <c:formatCode>0</c:formatCode>
                <c:ptCount val="1"/>
                <c:pt idx="0">
                  <c:v>49.900366272686526</c:v>
                </c:pt>
              </c:numCache>
            </c:numRef>
          </c:val>
          <c:extLst>
            <c:ext xmlns:c16="http://schemas.microsoft.com/office/drawing/2014/chart" uri="{C3380CC4-5D6E-409C-BE32-E72D297353CC}">
              <c16:uniqueId val="{00000006-009D-4ED4-B0F3-86CEE7A2EB77}"/>
            </c:ext>
          </c:extLst>
        </c:ser>
        <c:ser>
          <c:idx val="0"/>
          <c:order val="4"/>
          <c:tx>
            <c:strRef>
              <c:f>'CCC Summary'!$M$62</c:f>
              <c:strCache>
                <c:ptCount val="1"/>
                <c:pt idx="0">
                  <c:v>Levy</c:v>
                </c:pt>
              </c:strCache>
            </c:strRef>
          </c:tx>
          <c:spPr>
            <a:solidFill>
              <a:srgbClr val="F7BE4B"/>
            </a:solidFill>
            <a:ln>
              <a:noFill/>
            </a:ln>
            <a:effectLst/>
          </c:spPr>
          <c:invertIfNegative val="0"/>
          <c:dLbls>
            <c:dLbl>
              <c:idx val="0"/>
              <c:layout>
                <c:manualLayout>
                  <c:x val="-0.1656148136482255"/>
                  <c:y val="-1.5151409277059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9D-4ED4-B0F3-86CEE7A2EB77}"/>
                </c:ext>
              </c:extLst>
            </c:dLbl>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Summary'!$N$62</c:f>
              <c:numCache>
                <c:formatCode>0</c:formatCode>
                <c:ptCount val="1"/>
                <c:pt idx="0">
                  <c:v>0</c:v>
                </c:pt>
              </c:numCache>
            </c:numRef>
          </c:val>
          <c:extLst>
            <c:ext xmlns:c16="http://schemas.microsoft.com/office/drawing/2014/chart" uri="{C3380CC4-5D6E-409C-BE32-E72D297353CC}">
              <c16:uniqueId val="{00000008-009D-4ED4-B0F3-86CEE7A2EB77}"/>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5"/>
          <c:tx>
            <c:strRef>
              <c:f>'CCC Summary'!$M$64</c:f>
              <c:strCache>
                <c:ptCount val="1"/>
                <c:pt idx="0">
                  <c:v>Total S3</c:v>
                </c:pt>
              </c:strCache>
            </c:strRef>
          </c:tx>
          <c:spPr>
            <a:ln w="28575" cap="rnd">
              <a:solidFill>
                <a:schemeClr val="accent5"/>
              </a:solidFill>
              <a:round/>
            </a:ln>
            <a:effectLst/>
          </c:spPr>
          <c:marker>
            <c:symbol val="none"/>
          </c:marker>
          <c:dLbls>
            <c:delete val="1"/>
          </c:dLbls>
          <c:val>
            <c:numRef>
              <c:f>'CCC Summary'!$N$64</c:f>
              <c:numCache>
                <c:formatCode>0</c:formatCode>
                <c:ptCount val="1"/>
                <c:pt idx="0">
                  <c:v>741.11887976138405</c:v>
                </c:pt>
              </c:numCache>
            </c:numRef>
          </c:val>
          <c:smooth val="0"/>
          <c:extLst>
            <c:ext xmlns:c16="http://schemas.microsoft.com/office/drawing/2014/chart" uri="{C3380CC4-5D6E-409C-BE32-E72D297353CC}">
              <c16:uniqueId val="{00000009-009D-4ED4-B0F3-86CEE7A2EB77}"/>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920374349420989"/>
          <c:w val="0.89807255070552805"/>
          <c:h val="0.17079625650579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Summary'!$P$58</c:f>
          <c:strCache>
            <c:ptCount val="1"/>
            <c:pt idx="0">
              <c:v>2033 - Strategy 4: 100% ZNZ</c:v>
            </c:pt>
          </c:strCache>
        </c:strRef>
      </c:tx>
      <c:layout>
        <c:manualLayout>
          <c:xMode val="edge"/>
          <c:yMode val="edge"/>
          <c:x val="0.11017319795182362"/>
          <c:y val="6.14321317276952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802736976220594E-2"/>
          <c:y val="0.21674797551822098"/>
          <c:w val="0.96147227930445311"/>
          <c:h val="0.59055167139169773"/>
        </c:manualLayout>
      </c:layout>
      <c:barChart>
        <c:barDir val="col"/>
        <c:grouping val="stacked"/>
        <c:varyColors val="0"/>
        <c:ser>
          <c:idx val="2"/>
          <c:order val="0"/>
          <c:tx>
            <c:strRef>
              <c:f>'CCC Summary'!$P$60</c:f>
              <c:strCache>
                <c:ptCount val="1"/>
                <c:pt idx="0">
                  <c:v>ZNZ fuel (after rewards and surplus)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Summary'!$Q$60</c:f>
              <c:numCache>
                <c:formatCode>0</c:formatCode>
                <c:ptCount val="1"/>
                <c:pt idx="0">
                  <c:v>352.84181781239829</c:v>
                </c:pt>
              </c:numCache>
            </c:numRef>
          </c:val>
          <c:extLst>
            <c:ext xmlns:c16="http://schemas.microsoft.com/office/drawing/2014/chart" uri="{C3380CC4-5D6E-409C-BE32-E72D297353CC}">
              <c16:uniqueId val="{00000000-EFA2-42F9-BEC9-DBD0089BFF9A}"/>
            </c:ext>
          </c:extLst>
        </c:ser>
        <c:ser>
          <c:idx val="3"/>
          <c:order val="1"/>
          <c:tx>
            <c:strRef>
              <c:f>'CCC Summary'!$P$61</c:f>
              <c:strCache>
                <c:ptCount val="1"/>
                <c:pt idx="0">
                  <c:v>GFS (RU)</c:v>
                </c:pt>
              </c:strCache>
            </c:strRef>
          </c:tx>
          <c:spPr>
            <a:solidFill>
              <a:srgbClr val="B15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Summary'!$Q$61</c:f>
              <c:numCache>
                <c:formatCode>0</c:formatCode>
                <c:ptCount val="1"/>
                <c:pt idx="0">
                  <c:v>0</c:v>
                </c:pt>
              </c:numCache>
            </c:numRef>
          </c:val>
          <c:extLst>
            <c:ext xmlns:c16="http://schemas.microsoft.com/office/drawing/2014/chart" uri="{C3380CC4-5D6E-409C-BE32-E72D297353CC}">
              <c16:uniqueId val="{00000001-EFA2-42F9-BEC9-DBD0089BFF9A}"/>
            </c:ext>
          </c:extLst>
        </c:ser>
        <c:ser>
          <c:idx val="4"/>
          <c:order val="2"/>
          <c:tx>
            <c:strRef>
              <c:f>'CCC Summary'!$P$65</c:f>
              <c:strCache>
                <c:ptCount val="1"/>
                <c:pt idx="0">
                  <c:v>Levy</c:v>
                </c:pt>
              </c:strCache>
            </c:strRef>
          </c:tx>
          <c:spPr>
            <a:solidFill>
              <a:srgbClr val="FAD690"/>
            </a:solidFill>
            <a:ln>
              <a:noFill/>
            </a:ln>
            <a:effectLst/>
          </c:spPr>
          <c:invertIfNegative val="0"/>
          <c:dLbls>
            <c:numFmt formatCode="#,##0" sourceLinked="0"/>
            <c:spPr>
              <a:solidFill>
                <a:srgbClr val="F7BE4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Summary'!$Q$65</c:f>
              <c:numCache>
                <c:formatCode>0</c:formatCode>
                <c:ptCount val="1"/>
                <c:pt idx="0">
                  <c:v>0</c:v>
                </c:pt>
              </c:numCache>
            </c:numRef>
          </c:val>
          <c:extLst>
            <c:ext xmlns:c16="http://schemas.microsoft.com/office/drawing/2014/chart" uri="{C3380CC4-5D6E-409C-BE32-E72D297353CC}">
              <c16:uniqueId val="{00000002-EFA2-42F9-BEC9-DBD0089BFF9A}"/>
            </c:ext>
          </c:extLst>
        </c:ser>
        <c:ser>
          <c:idx val="1"/>
          <c:order val="4"/>
          <c:tx>
            <c:strRef>
              <c:f>'CCC Summary'!$P$63</c:f>
              <c:strCache>
                <c:ptCount val="1"/>
                <c:pt idx="0">
                  <c:v>GFS Surplus</c:v>
                </c:pt>
              </c:strCache>
            </c:strRef>
          </c:tx>
          <c:spPr>
            <a:pattFill prst="wdDnDiag">
              <a:fgClr>
                <a:srgbClr val="5E948A"/>
              </a:fgClr>
              <a:bgClr>
                <a:schemeClr val="bg1"/>
              </a:bgClr>
            </a:pattFill>
            <a:ln>
              <a:noFill/>
            </a:ln>
            <a:effectLst/>
          </c:spPr>
          <c:invertIfNegative val="0"/>
          <c:dLbls>
            <c:numFmt formatCode="\-\ #,##0" sourceLinked="0"/>
            <c:spPr>
              <a:pattFill prst="wdDnDiag">
                <a:fgClr>
                  <a:srgbClr val="C2D8D4"/>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Summary'!$Q$63</c:f>
              <c:numCache>
                <c:formatCode>0</c:formatCode>
                <c:ptCount val="1"/>
                <c:pt idx="0">
                  <c:v>656.23003379655643</c:v>
                </c:pt>
              </c:numCache>
            </c:numRef>
          </c:val>
          <c:extLst>
            <c:ext xmlns:c16="http://schemas.microsoft.com/office/drawing/2014/chart" uri="{C3380CC4-5D6E-409C-BE32-E72D297353CC}">
              <c16:uniqueId val="{00000003-EFA2-42F9-BEC9-DBD0089BFF9A}"/>
            </c:ext>
          </c:extLst>
        </c:ser>
        <c:ser>
          <c:idx val="0"/>
          <c:order val="5"/>
          <c:tx>
            <c:strRef>
              <c:f>'CCC Summary'!$P$64</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5-EFA2-42F9-BEC9-DBD0089BFF9A}"/>
              </c:ext>
            </c:extLst>
          </c:dPt>
          <c:dLbls>
            <c:dLbl>
              <c:idx val="0"/>
              <c:dLblPos val="inBase"/>
              <c:showLegendKey val="0"/>
              <c:showVal val="1"/>
              <c:showCatName val="0"/>
              <c:showSerName val="0"/>
              <c:showPercent val="0"/>
              <c:showBubbleSize val="0"/>
              <c:extLst>
                <c:ext xmlns:c15="http://schemas.microsoft.com/office/drawing/2012/chart" uri="{CE6537A1-D6FC-4f65-9D91-7224C49458BB}">
                  <c15:layout>
                    <c:manualLayout>
                      <c:w val="0.2222638593349788"/>
                      <c:h val="5.8865917933092898E-2"/>
                    </c:manualLayout>
                  </c15:layout>
                </c:ext>
                <c:ext xmlns:c16="http://schemas.microsoft.com/office/drawing/2014/chart" uri="{C3380CC4-5D6E-409C-BE32-E72D297353CC}">
                  <c16:uniqueId val="{00000005-EFA2-42F9-BEC9-DBD0089BFF9A}"/>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Summary'!$Q$64</c:f>
              <c:numCache>
                <c:formatCode>0</c:formatCode>
                <c:ptCount val="1"/>
                <c:pt idx="0">
                  <c:v>690.92814839104506</c:v>
                </c:pt>
              </c:numCache>
            </c:numRef>
          </c:val>
          <c:extLst>
            <c:ext xmlns:c16="http://schemas.microsoft.com/office/drawing/2014/chart" uri="{C3380CC4-5D6E-409C-BE32-E72D297353CC}">
              <c16:uniqueId val="{00000006-EFA2-42F9-BEC9-DBD0089BFF9A}"/>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3"/>
          <c:tx>
            <c:strRef>
              <c:f>'CCC Summary'!$P$66</c:f>
              <c:strCache>
                <c:ptCount val="1"/>
                <c:pt idx="0">
                  <c:v>Total S4</c:v>
                </c:pt>
              </c:strCache>
            </c:strRef>
          </c:tx>
          <c:spPr>
            <a:ln w="28575" cap="rnd">
              <a:solidFill>
                <a:schemeClr val="accent6"/>
              </a:solidFill>
              <a:round/>
            </a:ln>
            <a:effectLst/>
          </c:spPr>
          <c:marker>
            <c:symbol val="none"/>
          </c:marker>
          <c:dPt>
            <c:idx val="0"/>
            <c:marker>
              <c:symbol val="none"/>
            </c:marker>
            <c:bubble3D val="0"/>
            <c:spPr>
              <a:ln w="28575" cap="rnd">
                <a:solidFill>
                  <a:schemeClr val="accent6"/>
                </a:solidFill>
                <a:round/>
              </a:ln>
              <a:effectLst/>
            </c:spPr>
            <c:extLst>
              <c:ext xmlns:c16="http://schemas.microsoft.com/office/drawing/2014/chart" uri="{C3380CC4-5D6E-409C-BE32-E72D297353CC}">
                <c16:uniqueId val="{00000008-EFA2-42F9-BEC9-DBD0089BFF9A}"/>
              </c:ext>
            </c:extLst>
          </c:dPt>
          <c:val>
            <c:numRef>
              <c:f>'CCC Summary'!$Q$66</c:f>
              <c:numCache>
                <c:formatCode>0</c:formatCode>
                <c:ptCount val="1"/>
                <c:pt idx="0">
                  <c:v>352.84181781239829</c:v>
                </c:pt>
              </c:numCache>
            </c:numRef>
          </c:val>
          <c:smooth val="0"/>
          <c:extLst>
            <c:ext xmlns:c16="http://schemas.microsoft.com/office/drawing/2014/chart" uri="{C3380CC4-5D6E-409C-BE32-E72D297353CC}">
              <c16:uniqueId val="{00000009-EFA2-42F9-BEC9-DBD0089BFF9A}"/>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82983790471853303"/>
          <c:w val="0.92338463133326321"/>
          <c:h val="0.170122810088895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216359</xdr:colOff>
      <xdr:row>11</xdr:row>
      <xdr:rowOff>30833</xdr:rowOff>
    </xdr:from>
    <xdr:to>
      <xdr:col>13</xdr:col>
      <xdr:colOff>374691</xdr:colOff>
      <xdr:row>27</xdr:row>
      <xdr:rowOff>210539</xdr:rowOff>
    </xdr:to>
    <xdr:graphicFrame macro="">
      <xdr:nvGraphicFramePr>
        <xdr:cNvPr id="2" name="Chart 17">
          <a:extLst>
            <a:ext uri="{FF2B5EF4-FFF2-40B4-BE49-F238E27FC236}">
              <a16:creationId xmlns:a16="http://schemas.microsoft.com/office/drawing/2014/main" id="{189CD7AD-5015-49AA-BC4E-2A6BECCA9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220081</xdr:colOff>
      <xdr:row>28</xdr:row>
      <xdr:rowOff>44824</xdr:rowOff>
    </xdr:from>
    <xdr:to>
      <xdr:col>6</xdr:col>
      <xdr:colOff>2239502</xdr:colOff>
      <xdr:row>48</xdr:row>
      <xdr:rowOff>142456</xdr:rowOff>
    </xdr:to>
    <xdr:graphicFrame macro="">
      <xdr:nvGraphicFramePr>
        <xdr:cNvPr id="3" name="Chart 18">
          <a:extLst>
            <a:ext uri="{FF2B5EF4-FFF2-40B4-BE49-F238E27FC236}">
              <a16:creationId xmlns:a16="http://schemas.microsoft.com/office/drawing/2014/main" id="{E2B6948A-4B0E-42C1-BBC8-54BFC9C78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2371443</xdr:colOff>
      <xdr:row>28</xdr:row>
      <xdr:rowOff>35859</xdr:rowOff>
    </xdr:from>
    <xdr:to>
      <xdr:col>9</xdr:col>
      <xdr:colOff>54468</xdr:colOff>
      <xdr:row>48</xdr:row>
      <xdr:rowOff>134620</xdr:rowOff>
    </xdr:to>
    <xdr:graphicFrame macro="">
      <xdr:nvGraphicFramePr>
        <xdr:cNvPr id="4" name="Chart 3">
          <a:extLst>
            <a:ext uri="{FF2B5EF4-FFF2-40B4-BE49-F238E27FC236}">
              <a16:creationId xmlns:a16="http://schemas.microsoft.com/office/drawing/2014/main" id="{48488246-DB2F-4CD6-8BA4-C1A1FA37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134550</xdr:colOff>
      <xdr:row>28</xdr:row>
      <xdr:rowOff>35859</xdr:rowOff>
    </xdr:from>
    <xdr:to>
      <xdr:col>11</xdr:col>
      <xdr:colOff>245745</xdr:colOff>
      <xdr:row>48</xdr:row>
      <xdr:rowOff>135184</xdr:rowOff>
    </xdr:to>
    <xdr:graphicFrame macro="">
      <xdr:nvGraphicFramePr>
        <xdr:cNvPr id="5" name="Chart 4">
          <a:extLst>
            <a:ext uri="{FF2B5EF4-FFF2-40B4-BE49-F238E27FC236}">
              <a16:creationId xmlns:a16="http://schemas.microsoft.com/office/drawing/2014/main" id="{0B2C9CB3-12B7-4488-B005-1D9A4C152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311987</xdr:colOff>
      <xdr:row>28</xdr:row>
      <xdr:rowOff>44823</xdr:rowOff>
    </xdr:from>
    <xdr:to>
      <xdr:col>13</xdr:col>
      <xdr:colOff>404133</xdr:colOff>
      <xdr:row>48</xdr:row>
      <xdr:rowOff>125064</xdr:rowOff>
    </xdr:to>
    <xdr:graphicFrame macro="">
      <xdr:nvGraphicFramePr>
        <xdr:cNvPr id="6" name="Chart 23">
          <a:extLst>
            <a:ext uri="{FF2B5EF4-FFF2-40B4-BE49-F238E27FC236}">
              <a16:creationId xmlns:a16="http://schemas.microsoft.com/office/drawing/2014/main" id="{8EC2F91F-FB08-4A41-B4A7-1E127F14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403263</xdr:colOff>
      <xdr:row>31</xdr:row>
      <xdr:rowOff>45939</xdr:rowOff>
    </xdr:from>
    <xdr:to>
      <xdr:col>6</xdr:col>
      <xdr:colOff>2079737</xdr:colOff>
      <xdr:row>31</xdr:row>
      <xdr:rowOff>296951</xdr:rowOff>
    </xdr:to>
    <xdr:sp macro="" textlink="$G$64">
      <xdr:nvSpPr>
        <xdr:cNvPr id="7" name="TextBox 6">
          <a:extLst>
            <a:ext uri="{FF2B5EF4-FFF2-40B4-BE49-F238E27FC236}">
              <a16:creationId xmlns:a16="http://schemas.microsoft.com/office/drawing/2014/main" id="{9548145C-0CBD-45F3-B8F7-CC21F55B411B}"/>
            </a:ext>
          </a:extLst>
        </xdr:cNvPr>
        <xdr:cNvSpPr txBox="1"/>
      </xdr:nvSpPr>
      <xdr:spPr>
        <a:xfrm>
          <a:off x="10906163" y="10993339"/>
          <a:ext cx="1676474" cy="2510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368E0A-2563-4A98-93D4-744B008D6F44}" type="TxLink">
            <a:rPr lang="en-US" sz="900" b="1" i="1" u="none" strike="noStrike">
              <a:solidFill>
                <a:sysClr val="windowText" lastClr="000000"/>
              </a:solidFill>
              <a:latin typeface="Calibri"/>
              <a:ea typeface="Calibri"/>
              <a:cs typeface="Calibri"/>
            </a:rPr>
            <a:pPr algn="ctr"/>
            <a:t>Total S1 = 973 USD/tLSFOeq</a:t>
          </a:fld>
          <a:endParaRPr lang="en-US" sz="1100">
            <a:solidFill>
              <a:sysClr val="windowText" lastClr="000000"/>
            </a:solidFill>
          </a:endParaRPr>
        </a:p>
      </xdr:txBody>
    </xdr:sp>
    <xdr:clientData/>
  </xdr:twoCellAnchor>
  <xdr:twoCellAnchor>
    <xdr:from>
      <xdr:col>7</xdr:col>
      <xdr:colOff>61259</xdr:colOff>
      <xdr:row>31</xdr:row>
      <xdr:rowOff>66334</xdr:rowOff>
    </xdr:from>
    <xdr:to>
      <xdr:col>8</xdr:col>
      <xdr:colOff>916939</xdr:colOff>
      <xdr:row>31</xdr:row>
      <xdr:rowOff>304646</xdr:rowOff>
    </xdr:to>
    <xdr:sp macro="" textlink="$J$65">
      <xdr:nvSpPr>
        <xdr:cNvPr id="8" name="TextBox 7">
          <a:extLst>
            <a:ext uri="{FF2B5EF4-FFF2-40B4-BE49-F238E27FC236}">
              <a16:creationId xmlns:a16="http://schemas.microsoft.com/office/drawing/2014/main" id="{89C82D57-EA32-454E-AC73-13E0D4E67D95}"/>
            </a:ext>
          </a:extLst>
        </xdr:cNvPr>
        <xdr:cNvSpPr txBox="1"/>
      </xdr:nvSpPr>
      <xdr:spPr>
        <a:xfrm>
          <a:off x="12951759" y="11013734"/>
          <a:ext cx="1662130" cy="2383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56FEA49-7E55-4DAB-B437-8551FD1CDFEE}" type="TxLink">
            <a:rPr lang="en-US" sz="900" b="1" i="1" u="none" strike="noStrike">
              <a:solidFill>
                <a:sysClr val="windowText" lastClr="000000"/>
              </a:solidFill>
              <a:latin typeface="Calibri"/>
              <a:ea typeface="Calibri"/>
              <a:cs typeface="Calibri"/>
            </a:rPr>
            <a:pPr marL="0" indent="0" algn="ctr"/>
            <a:t>Total S2 = 678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9</xdr:col>
      <xdr:colOff>286721</xdr:colOff>
      <xdr:row>31</xdr:row>
      <xdr:rowOff>57444</xdr:rowOff>
    </xdr:from>
    <xdr:to>
      <xdr:col>11</xdr:col>
      <xdr:colOff>64097</xdr:colOff>
      <xdr:row>31</xdr:row>
      <xdr:rowOff>304646</xdr:rowOff>
    </xdr:to>
    <xdr:sp macro="" textlink="$M$65">
      <xdr:nvSpPr>
        <xdr:cNvPr id="9" name="TextBox 8">
          <a:extLst>
            <a:ext uri="{FF2B5EF4-FFF2-40B4-BE49-F238E27FC236}">
              <a16:creationId xmlns:a16="http://schemas.microsoft.com/office/drawing/2014/main" id="{AB6018CB-9F65-4501-A5DE-81815C5D01D1}"/>
            </a:ext>
          </a:extLst>
        </xdr:cNvPr>
        <xdr:cNvSpPr txBox="1"/>
      </xdr:nvSpPr>
      <xdr:spPr>
        <a:xfrm>
          <a:off x="14929821" y="11004844"/>
          <a:ext cx="1669676" cy="247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4E5DC42-1293-4E6B-BFB5-959D1BDF4669}" type="TxLink">
            <a:rPr lang="en-US" sz="900" b="1" i="1" u="none" strike="noStrike">
              <a:solidFill>
                <a:sysClr val="windowText" lastClr="000000"/>
              </a:solidFill>
              <a:latin typeface="Calibri"/>
              <a:ea typeface="Calibri"/>
              <a:cs typeface="Calibri"/>
            </a:rPr>
            <a:pPr marL="0" indent="0" algn="ctr"/>
            <a:t>Total S3 = 741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11</xdr:col>
      <xdr:colOff>481404</xdr:colOff>
      <xdr:row>31</xdr:row>
      <xdr:rowOff>45939</xdr:rowOff>
    </xdr:from>
    <xdr:to>
      <xdr:col>13</xdr:col>
      <xdr:colOff>252430</xdr:colOff>
      <xdr:row>31</xdr:row>
      <xdr:rowOff>285521</xdr:rowOff>
    </xdr:to>
    <xdr:sp macro="" textlink="$P$67">
      <xdr:nvSpPr>
        <xdr:cNvPr id="10" name="TextBox 9">
          <a:extLst>
            <a:ext uri="{FF2B5EF4-FFF2-40B4-BE49-F238E27FC236}">
              <a16:creationId xmlns:a16="http://schemas.microsoft.com/office/drawing/2014/main" id="{0F2B0E8E-869A-430A-8593-77CE13E547D3}"/>
            </a:ext>
          </a:extLst>
        </xdr:cNvPr>
        <xdr:cNvSpPr txBox="1"/>
      </xdr:nvSpPr>
      <xdr:spPr>
        <a:xfrm>
          <a:off x="17016804" y="10993339"/>
          <a:ext cx="1663326" cy="2395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54D0391-41DB-44C1-86AD-73354E33A6FD}" type="TxLink">
            <a:rPr lang="en-US" sz="900" b="1" i="1" u="none" strike="noStrike">
              <a:solidFill>
                <a:sysClr val="windowText" lastClr="000000"/>
              </a:solidFill>
              <a:latin typeface="Calibri"/>
              <a:ea typeface="Calibri"/>
              <a:cs typeface="Calibri"/>
            </a:rPr>
            <a:pPr marL="0" indent="0" algn="ctr"/>
            <a:t>Total S4 = 353 USD/tLSFOeq</a:t>
          </a:fld>
          <a:endParaRPr lang="en-US" sz="900" b="1" i="1" u="none" strike="noStrike">
            <a:solidFill>
              <a:sysClr val="windowText" lastClr="000000"/>
            </a:solidFill>
            <a:latin typeface="Calibri"/>
            <a:ea typeface="Calibri"/>
            <a:cs typeface="Calibri"/>
          </a:endParaRPr>
        </a:p>
      </xdr:txBody>
    </xdr:sp>
    <xdr:clientData/>
  </xdr:twoCellAnchor>
  <xdr:twoCellAnchor editAs="oneCell">
    <xdr:from>
      <xdr:col>6</xdr:col>
      <xdr:colOff>813173</xdr:colOff>
      <xdr:row>27</xdr:row>
      <xdr:rowOff>330098</xdr:rowOff>
    </xdr:from>
    <xdr:to>
      <xdr:col>6</xdr:col>
      <xdr:colOff>1591123</xdr:colOff>
      <xdr:row>29</xdr:row>
      <xdr:rowOff>60265</xdr:rowOff>
    </xdr:to>
    <xdr:pic>
      <xdr:nvPicPr>
        <xdr:cNvPr id="11" name="Picture 10">
          <a:extLst>
            <a:ext uri="{FF2B5EF4-FFF2-40B4-BE49-F238E27FC236}">
              <a16:creationId xmlns:a16="http://schemas.microsoft.com/office/drawing/2014/main" id="{A3ED5F58-48EA-4249-A5B6-9B027BE4DEB5}"/>
            </a:ext>
          </a:extLst>
        </xdr:cNvPr>
        <xdr:cNvPicPr>
          <a:picLocks noChangeAspect="1"/>
        </xdr:cNvPicPr>
      </xdr:nvPicPr>
      <xdr:blipFill>
        <a:blip xmlns:r="http://schemas.openxmlformats.org/officeDocument/2006/relationships" r:embed="rId6"/>
        <a:stretch>
          <a:fillRect/>
        </a:stretch>
      </xdr:blipFill>
      <xdr:spPr>
        <a:xfrm>
          <a:off x="11316073" y="10001148"/>
          <a:ext cx="770965" cy="577257"/>
        </a:xfrm>
        <a:prstGeom prst="rect">
          <a:avLst/>
        </a:prstGeom>
      </xdr:spPr>
    </xdr:pic>
    <xdr:clientData/>
  </xdr:twoCellAnchor>
  <xdr:twoCellAnchor editAs="oneCell">
    <xdr:from>
      <xdr:col>7</xdr:col>
      <xdr:colOff>464896</xdr:colOff>
      <xdr:row>27</xdr:row>
      <xdr:rowOff>315034</xdr:rowOff>
    </xdr:from>
    <xdr:to>
      <xdr:col>8</xdr:col>
      <xdr:colOff>448079</xdr:colOff>
      <xdr:row>29</xdr:row>
      <xdr:rowOff>59069</xdr:rowOff>
    </xdr:to>
    <xdr:pic>
      <xdr:nvPicPr>
        <xdr:cNvPr id="12" name="Picture 11">
          <a:extLst>
            <a:ext uri="{FF2B5EF4-FFF2-40B4-BE49-F238E27FC236}">
              <a16:creationId xmlns:a16="http://schemas.microsoft.com/office/drawing/2014/main" id="{A45E0547-15D2-4C71-8064-1FB68473AB37}"/>
            </a:ext>
          </a:extLst>
        </xdr:cNvPr>
        <xdr:cNvPicPr>
          <a:picLocks noChangeAspect="1"/>
        </xdr:cNvPicPr>
      </xdr:nvPicPr>
      <xdr:blipFill>
        <a:blip xmlns:r="http://schemas.openxmlformats.org/officeDocument/2006/relationships" r:embed="rId7"/>
        <a:stretch>
          <a:fillRect/>
        </a:stretch>
      </xdr:blipFill>
      <xdr:spPr>
        <a:xfrm>
          <a:off x="13355396" y="9986084"/>
          <a:ext cx="782648" cy="591125"/>
        </a:xfrm>
        <a:prstGeom prst="rect">
          <a:avLst/>
        </a:prstGeom>
      </xdr:spPr>
    </xdr:pic>
    <xdr:clientData/>
  </xdr:twoCellAnchor>
  <xdr:twoCellAnchor editAs="oneCell">
    <xdr:from>
      <xdr:col>9</xdr:col>
      <xdr:colOff>695438</xdr:colOff>
      <xdr:row>27</xdr:row>
      <xdr:rowOff>329028</xdr:rowOff>
    </xdr:from>
    <xdr:to>
      <xdr:col>10</xdr:col>
      <xdr:colOff>521933</xdr:colOff>
      <xdr:row>29</xdr:row>
      <xdr:rowOff>22092</xdr:rowOff>
    </xdr:to>
    <xdr:pic>
      <xdr:nvPicPr>
        <xdr:cNvPr id="13" name="Picture 12">
          <a:extLst>
            <a:ext uri="{FF2B5EF4-FFF2-40B4-BE49-F238E27FC236}">
              <a16:creationId xmlns:a16="http://schemas.microsoft.com/office/drawing/2014/main" id="{39E231EE-48FF-41A8-9645-1F8214A681CF}"/>
            </a:ext>
          </a:extLst>
        </xdr:cNvPr>
        <xdr:cNvPicPr>
          <a:picLocks noChangeAspect="1"/>
        </xdr:cNvPicPr>
      </xdr:nvPicPr>
      <xdr:blipFill>
        <a:blip xmlns:r="http://schemas.openxmlformats.org/officeDocument/2006/relationships" r:embed="rId8"/>
        <a:stretch>
          <a:fillRect/>
        </a:stretch>
      </xdr:blipFill>
      <xdr:spPr>
        <a:xfrm>
          <a:off x="15338538" y="10000078"/>
          <a:ext cx="772010" cy="540154"/>
        </a:xfrm>
        <a:prstGeom prst="rect">
          <a:avLst/>
        </a:prstGeom>
      </xdr:spPr>
    </xdr:pic>
    <xdr:clientData/>
  </xdr:twoCellAnchor>
  <xdr:twoCellAnchor editAs="oneCell">
    <xdr:from>
      <xdr:col>11</xdr:col>
      <xdr:colOff>902895</xdr:colOff>
      <xdr:row>27</xdr:row>
      <xdr:rowOff>339389</xdr:rowOff>
    </xdr:from>
    <xdr:to>
      <xdr:col>12</xdr:col>
      <xdr:colOff>743910</xdr:colOff>
      <xdr:row>29</xdr:row>
      <xdr:rowOff>57800</xdr:rowOff>
    </xdr:to>
    <xdr:pic>
      <xdr:nvPicPr>
        <xdr:cNvPr id="14" name="Picture 13">
          <a:extLst>
            <a:ext uri="{FF2B5EF4-FFF2-40B4-BE49-F238E27FC236}">
              <a16:creationId xmlns:a16="http://schemas.microsoft.com/office/drawing/2014/main" id="{8F74CCD0-A2A9-4373-A3D9-CDBCC669DB86}"/>
            </a:ext>
          </a:extLst>
        </xdr:cNvPr>
        <xdr:cNvPicPr>
          <a:picLocks noChangeAspect="1"/>
        </xdr:cNvPicPr>
      </xdr:nvPicPr>
      <xdr:blipFill>
        <a:blip xmlns:r="http://schemas.openxmlformats.org/officeDocument/2006/relationships" r:embed="rId9"/>
        <a:stretch>
          <a:fillRect/>
        </a:stretch>
      </xdr:blipFill>
      <xdr:spPr>
        <a:xfrm>
          <a:off x="17438295" y="10010439"/>
          <a:ext cx="789705" cy="565501"/>
        </a:xfrm>
        <a:prstGeom prst="rect">
          <a:avLst/>
        </a:prstGeom>
      </xdr:spPr>
    </xdr:pic>
    <xdr:clientData/>
  </xdr:twoCellAnchor>
  <xdr:twoCellAnchor editAs="oneCell">
    <xdr:from>
      <xdr:col>6</xdr:col>
      <xdr:colOff>797859</xdr:colOff>
      <xdr:row>13</xdr:row>
      <xdr:rowOff>265055</xdr:rowOff>
    </xdr:from>
    <xdr:to>
      <xdr:col>6</xdr:col>
      <xdr:colOff>1322757</xdr:colOff>
      <xdr:row>15</xdr:row>
      <xdr:rowOff>101987</xdr:rowOff>
    </xdr:to>
    <xdr:pic>
      <xdr:nvPicPr>
        <xdr:cNvPr id="15" name="Picture 14">
          <a:extLst>
            <a:ext uri="{FF2B5EF4-FFF2-40B4-BE49-F238E27FC236}">
              <a16:creationId xmlns:a16="http://schemas.microsoft.com/office/drawing/2014/main" id="{37B26A66-67C4-425B-BD54-B921F054C657}"/>
            </a:ext>
          </a:extLst>
        </xdr:cNvPr>
        <xdr:cNvPicPr>
          <a:picLocks noChangeAspect="1"/>
        </xdr:cNvPicPr>
      </xdr:nvPicPr>
      <xdr:blipFill>
        <a:blip xmlns:r="http://schemas.openxmlformats.org/officeDocument/2006/relationships" r:embed="rId7"/>
        <a:stretch>
          <a:fillRect/>
        </a:stretch>
      </xdr:blipFill>
      <xdr:spPr>
        <a:xfrm>
          <a:off x="11300759" y="5834005"/>
          <a:ext cx="517913" cy="376046"/>
        </a:xfrm>
        <a:prstGeom prst="rect">
          <a:avLst/>
        </a:prstGeom>
      </xdr:spPr>
    </xdr:pic>
    <xdr:clientData/>
  </xdr:twoCellAnchor>
  <xdr:twoCellAnchor editAs="oneCell">
    <xdr:from>
      <xdr:col>6</xdr:col>
      <xdr:colOff>799130</xdr:colOff>
      <xdr:row>14</xdr:row>
      <xdr:rowOff>213882</xdr:rowOff>
    </xdr:from>
    <xdr:to>
      <xdr:col>6</xdr:col>
      <xdr:colOff>1335500</xdr:colOff>
      <xdr:row>16</xdr:row>
      <xdr:rowOff>104529</xdr:rowOff>
    </xdr:to>
    <xdr:pic>
      <xdr:nvPicPr>
        <xdr:cNvPr id="16" name="Picture 15">
          <a:extLst>
            <a:ext uri="{FF2B5EF4-FFF2-40B4-BE49-F238E27FC236}">
              <a16:creationId xmlns:a16="http://schemas.microsoft.com/office/drawing/2014/main" id="{448B60C2-644F-4A93-845F-AFE9CFB5ACA7}"/>
            </a:ext>
          </a:extLst>
        </xdr:cNvPr>
        <xdr:cNvPicPr>
          <a:picLocks noChangeAspect="1"/>
        </xdr:cNvPicPr>
      </xdr:nvPicPr>
      <xdr:blipFill>
        <a:blip xmlns:r="http://schemas.openxmlformats.org/officeDocument/2006/relationships" r:embed="rId8"/>
        <a:stretch>
          <a:fillRect/>
        </a:stretch>
      </xdr:blipFill>
      <xdr:spPr>
        <a:xfrm>
          <a:off x="11302030" y="6074932"/>
          <a:ext cx="536370" cy="378962"/>
        </a:xfrm>
        <a:prstGeom prst="rect">
          <a:avLst/>
        </a:prstGeom>
      </xdr:spPr>
    </xdr:pic>
    <xdr:clientData/>
  </xdr:twoCellAnchor>
  <xdr:twoCellAnchor editAs="oneCell">
    <xdr:from>
      <xdr:col>6</xdr:col>
      <xdr:colOff>799205</xdr:colOff>
      <xdr:row>15</xdr:row>
      <xdr:rowOff>186988</xdr:rowOff>
    </xdr:from>
    <xdr:to>
      <xdr:col>6</xdr:col>
      <xdr:colOff>1315581</xdr:colOff>
      <xdr:row>16</xdr:row>
      <xdr:rowOff>325321</xdr:rowOff>
    </xdr:to>
    <xdr:pic>
      <xdr:nvPicPr>
        <xdr:cNvPr id="17" name="Picture 16">
          <a:extLst>
            <a:ext uri="{FF2B5EF4-FFF2-40B4-BE49-F238E27FC236}">
              <a16:creationId xmlns:a16="http://schemas.microsoft.com/office/drawing/2014/main" id="{54F0802F-7B6C-4E84-9585-EDFBB4A35046}"/>
            </a:ext>
          </a:extLst>
        </xdr:cNvPr>
        <xdr:cNvPicPr>
          <a:picLocks noChangeAspect="1"/>
        </xdr:cNvPicPr>
      </xdr:nvPicPr>
      <xdr:blipFill>
        <a:blip xmlns:r="http://schemas.openxmlformats.org/officeDocument/2006/relationships" r:embed="rId9"/>
        <a:stretch>
          <a:fillRect/>
        </a:stretch>
      </xdr:blipFill>
      <xdr:spPr>
        <a:xfrm>
          <a:off x="11302105" y="6295688"/>
          <a:ext cx="518916" cy="388524"/>
        </a:xfrm>
        <a:prstGeom prst="rect">
          <a:avLst/>
        </a:prstGeom>
      </xdr:spPr>
    </xdr:pic>
    <xdr:clientData/>
  </xdr:twoCellAnchor>
  <xdr:twoCellAnchor editAs="oneCell">
    <xdr:from>
      <xdr:col>6</xdr:col>
      <xdr:colOff>797783</xdr:colOff>
      <xdr:row>13</xdr:row>
      <xdr:rowOff>30480</xdr:rowOff>
    </xdr:from>
    <xdr:to>
      <xdr:col>6</xdr:col>
      <xdr:colOff>1322950</xdr:colOff>
      <xdr:row>14</xdr:row>
      <xdr:rowOff>142778</xdr:rowOff>
    </xdr:to>
    <xdr:pic>
      <xdr:nvPicPr>
        <xdr:cNvPr id="18" name="Picture 17">
          <a:extLst>
            <a:ext uri="{FF2B5EF4-FFF2-40B4-BE49-F238E27FC236}">
              <a16:creationId xmlns:a16="http://schemas.microsoft.com/office/drawing/2014/main" id="{3715A2FC-8A8E-4B04-9FDE-8F7F5D26E9F0}"/>
            </a:ext>
          </a:extLst>
        </xdr:cNvPr>
        <xdr:cNvPicPr>
          <a:picLocks noChangeAspect="1"/>
        </xdr:cNvPicPr>
      </xdr:nvPicPr>
      <xdr:blipFill>
        <a:blip xmlns:r="http://schemas.openxmlformats.org/officeDocument/2006/relationships" r:embed="rId6"/>
        <a:stretch>
          <a:fillRect/>
        </a:stretch>
      </xdr:blipFill>
      <xdr:spPr>
        <a:xfrm>
          <a:off x="11300683" y="5599430"/>
          <a:ext cx="518182" cy="39741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0.24139</cdr:x>
      <cdr:y>0.09119</cdr:y>
    </cdr:from>
    <cdr:to>
      <cdr:x>0.74366</cdr:x>
      <cdr:y>0.17498</cdr:y>
    </cdr:to>
    <cdr:sp macro="" textlink="">
      <cdr:nvSpPr>
        <cdr:cNvPr id="2" name="TextBox 1">
          <a:extLst xmlns:a="http://schemas.openxmlformats.org/drawingml/2006/main">
            <a:ext uri="{FF2B5EF4-FFF2-40B4-BE49-F238E27FC236}">
              <a16:creationId xmlns:a16="http://schemas.microsoft.com/office/drawing/2014/main" id="{CCD37E44-25E3-6583-E456-85AFB4871C20}"/>
            </a:ext>
          </a:extLst>
        </cdr:cNvPr>
        <cdr:cNvSpPr txBox="1"/>
      </cdr:nvSpPr>
      <cdr:spPr>
        <a:xfrm xmlns:a="http://schemas.openxmlformats.org/drawingml/2006/main">
          <a:off x="486861" y="478077"/>
          <a:ext cx="1013012" cy="439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0.21917</cdr:x>
      <cdr:y>0.09632</cdr:y>
    </cdr:from>
    <cdr:to>
      <cdr:x>0.73032</cdr:x>
      <cdr:y>0.15617</cdr:y>
    </cdr:to>
    <cdr:sp macro="" textlink="">
      <cdr:nvSpPr>
        <cdr:cNvPr id="3" name="TextBox 2">
          <a:extLst xmlns:a="http://schemas.openxmlformats.org/drawingml/2006/main">
            <a:ext uri="{FF2B5EF4-FFF2-40B4-BE49-F238E27FC236}">
              <a16:creationId xmlns:a16="http://schemas.microsoft.com/office/drawing/2014/main" id="{CCFB5738-2229-743C-76DA-FD1DAE724408}"/>
            </a:ext>
          </a:extLst>
        </cdr:cNvPr>
        <cdr:cNvSpPr txBox="1"/>
      </cdr:nvSpPr>
      <cdr:spPr>
        <a:xfrm xmlns:a="http://schemas.openxmlformats.org/drawingml/2006/main">
          <a:off x="442037" y="504971"/>
          <a:ext cx="1030941"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567230</xdr:colOff>
      <xdr:row>178</xdr:row>
      <xdr:rowOff>0</xdr:rowOff>
    </xdr:from>
    <xdr:to>
      <xdr:col>5</xdr:col>
      <xdr:colOff>1116505</xdr:colOff>
      <xdr:row>178</xdr:row>
      <xdr:rowOff>0</xdr:rowOff>
    </xdr:to>
    <xdr:sp macro="" textlink="">
      <xdr:nvSpPr>
        <xdr:cNvPr id="2" name="Arrow: Right 1">
          <a:extLst>
            <a:ext uri="{FF2B5EF4-FFF2-40B4-BE49-F238E27FC236}">
              <a16:creationId xmlns:a16="http://schemas.microsoft.com/office/drawing/2014/main" id="{0348FBC0-253B-4AD1-97C3-EA1DF0430547}"/>
            </a:ext>
          </a:extLst>
        </xdr:cNvPr>
        <xdr:cNvSpPr/>
      </xdr:nvSpPr>
      <xdr:spPr>
        <a:xfrm>
          <a:off x="8942880" y="333057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173</xdr:row>
      <xdr:rowOff>0</xdr:rowOff>
    </xdr:from>
    <xdr:to>
      <xdr:col>5</xdr:col>
      <xdr:colOff>1116505</xdr:colOff>
      <xdr:row>173</xdr:row>
      <xdr:rowOff>0</xdr:rowOff>
    </xdr:to>
    <xdr:sp macro="" textlink="">
      <xdr:nvSpPr>
        <xdr:cNvPr id="3" name="Arrow: Right 2">
          <a:extLst>
            <a:ext uri="{FF2B5EF4-FFF2-40B4-BE49-F238E27FC236}">
              <a16:creationId xmlns:a16="http://schemas.microsoft.com/office/drawing/2014/main" id="{6CA33ED6-7EEA-4F66-BDC1-A68866C88EB6}"/>
            </a:ext>
          </a:extLst>
        </xdr:cNvPr>
        <xdr:cNvSpPr/>
      </xdr:nvSpPr>
      <xdr:spPr>
        <a:xfrm>
          <a:off x="8942880" y="323850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219</xdr:row>
      <xdr:rowOff>0</xdr:rowOff>
    </xdr:from>
    <xdr:to>
      <xdr:col>5</xdr:col>
      <xdr:colOff>1116505</xdr:colOff>
      <xdr:row>219</xdr:row>
      <xdr:rowOff>0</xdr:rowOff>
    </xdr:to>
    <xdr:sp macro="" textlink="">
      <xdr:nvSpPr>
        <xdr:cNvPr id="4" name="Arrow: Right 3">
          <a:extLst>
            <a:ext uri="{FF2B5EF4-FFF2-40B4-BE49-F238E27FC236}">
              <a16:creationId xmlns:a16="http://schemas.microsoft.com/office/drawing/2014/main" id="{F1B51CB1-D580-4E54-8B8D-EFFA829A8166}"/>
            </a:ext>
          </a:extLst>
        </xdr:cNvPr>
        <xdr:cNvSpPr/>
      </xdr:nvSpPr>
      <xdr:spPr>
        <a:xfrm>
          <a:off x="8942880" y="408559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136</xdr:row>
      <xdr:rowOff>19050</xdr:rowOff>
    </xdr:from>
    <xdr:to>
      <xdr:col>1</xdr:col>
      <xdr:colOff>1116505</xdr:colOff>
      <xdr:row>136</xdr:row>
      <xdr:rowOff>19050</xdr:rowOff>
    </xdr:to>
    <xdr:sp macro="" textlink="">
      <xdr:nvSpPr>
        <xdr:cNvPr id="5" name="Arrow: Right 4">
          <a:extLst>
            <a:ext uri="{FF2B5EF4-FFF2-40B4-BE49-F238E27FC236}">
              <a16:creationId xmlns:a16="http://schemas.microsoft.com/office/drawing/2014/main" id="{C3393E5A-8A9F-474C-B85C-55B2291420A7}"/>
            </a:ext>
          </a:extLst>
        </xdr:cNvPr>
        <xdr:cNvSpPr/>
      </xdr:nvSpPr>
      <xdr:spPr>
        <a:xfrm>
          <a:off x="1176830" y="25577800"/>
          <a:ext cx="476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efreshError="1"/>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7" Type="http://schemas.openxmlformats.org/officeDocument/2006/relationships/drawing" Target="../drawings/drawing1.xm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printerSettings" Target="../printerSettings/printerSettings1.bin"/><Relationship Id="rId5" Type="http://schemas.openxmlformats.org/officeDocument/2006/relationships/hyperlink" Target="https://www.zerocarbonshipping.com/news/countdown-reflections-from-iswg-ghg-18/" TargetMode="External"/><Relationship Id="rId4" Type="http://schemas.openxmlformats.org/officeDocument/2006/relationships/hyperlink" Target="https://www.zerocarbonshipping.com/news/countdown-ru-ready-analyzing-the-cost-of-non-complian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cdn.imo.org/localresources/en/OurWork/Environment/Documents/annex/MEPC%2081/Annex%2010.pdf" TargetMode="External"/><Relationship Id="rId18" Type="http://schemas.openxmlformats.org/officeDocument/2006/relationships/hyperlink" Target="https://eur-lex.europa.eu/legal-content/EN/TXT/PDF/?uri=CELEX:32023R1805" TargetMode="External"/><Relationship Id="rId3" Type="http://schemas.openxmlformats.org/officeDocument/2006/relationships/hyperlink" Target="https://www.zerocarbonshipping.com/cost-calculator/?s=0" TargetMode="External"/><Relationship Id="rId7" Type="http://schemas.openxmlformats.org/officeDocument/2006/relationships/hyperlink" Target="https://www.zerocarbonshipping.com/cost-calculator/" TargetMode="External"/><Relationship Id="rId12" Type="http://schemas.openxmlformats.org/officeDocument/2006/relationships/hyperlink" Target="https://wwwcdn.imo.org/localresources/en/OurWork/Environment/Documents/annex/MEPC%2081/Annex%2010.pdf" TargetMode="External"/><Relationship Id="rId17" Type="http://schemas.openxmlformats.org/officeDocument/2006/relationships/hyperlink" Target="https://eur-lex.europa.eu/legal-content/EN/TXT/PDF/?uri=CELEX:32023R1805" TargetMode="External"/><Relationship Id="rId2" Type="http://schemas.openxmlformats.org/officeDocument/2006/relationships/hyperlink" Target="https://www.imo.org/en/OurWork/Environment/Pages/Assessment-of-impacts-on-States.aspx" TargetMode="External"/><Relationship Id="rId16" Type="http://schemas.openxmlformats.org/officeDocument/2006/relationships/hyperlink" Target="https://eur-lex.europa.eu/legal-content/EN/TXT/PDF/?uri=CELEX:32023R1805" TargetMode="Externa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www.zerocarbonshipping.com/cost-calculator/" TargetMode="External"/><Relationship Id="rId11" Type="http://schemas.openxmlformats.org/officeDocument/2006/relationships/hyperlink" Target="https://www.imo.org/en/OurWork/Environment/Pages/Assessment-of-impacts-on-States.aspx" TargetMode="External"/><Relationship Id="rId5" Type="http://schemas.openxmlformats.org/officeDocument/2006/relationships/hyperlink" Target="https://www.zerocarbonshipping.com/cost-calculator/" TargetMode="External"/><Relationship Id="rId15" Type="http://schemas.openxmlformats.org/officeDocument/2006/relationships/hyperlink" Target="https://eur-lex.europa.eu/legal-content/EN/TXT/PDF/?uri=CELEX:32023R1805" TargetMode="External"/><Relationship Id="rId10" Type="http://schemas.openxmlformats.org/officeDocument/2006/relationships/hyperlink" Target="https://www.lr.org/en/knowledge/research-reports/techno-economic-assessment-of-zero-carbon-fuels/" TargetMode="External"/><Relationship Id="rId19" Type="http://schemas.openxmlformats.org/officeDocument/2006/relationships/hyperlink" Target="https://eur-lex.europa.eu/legal-content/EN/TXT/PDF/?uri=CELEX:32023R1805" TargetMode="External"/><Relationship Id="rId4" Type="http://schemas.openxmlformats.org/officeDocument/2006/relationships/hyperlink" Target="https://www.zerocarbonshipping.com/cost-calculator/?s=0" TargetMode="External"/><Relationship Id="rId9" Type="http://schemas.openxmlformats.org/officeDocument/2006/relationships/hyperlink" Target="https://www.lr.org/en/knowledge/research-reports/techno-economic-assessment-of-zero-carbon-fuels/" TargetMode="External"/><Relationship Id="rId14" Type="http://schemas.openxmlformats.org/officeDocument/2006/relationships/hyperlink" Target="https://www.zerocarbonshipping.com/cost-calculator/?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484-F82A-4B3A-BF67-779135659CF3}">
  <sheetPr>
    <tabColor rgb="FF5E948A"/>
  </sheetPr>
  <dimension ref="A1:AZ79"/>
  <sheetViews>
    <sheetView showGridLines="0" tabSelected="1" zoomScale="85" zoomScaleNormal="85" workbookViewId="0">
      <selection activeCell="C50" sqref="C50"/>
    </sheetView>
  </sheetViews>
  <sheetFormatPr defaultColWidth="8.7265625" defaultRowHeight="14.5" x14ac:dyDescent="0.35"/>
  <cols>
    <col min="1" max="1" width="3.7265625" style="20" customWidth="1"/>
    <col min="2" max="2" width="44.453125" style="20" customWidth="1"/>
    <col min="3" max="3" width="32" style="18" customWidth="1"/>
    <col min="4" max="5" width="32.1796875" style="20" customWidth="1"/>
    <col min="6" max="6" width="5.81640625" style="20" customWidth="1"/>
    <col min="7" max="7" width="34.1796875" style="20" customWidth="1"/>
    <col min="8" max="8" width="11.54296875" style="20" customWidth="1"/>
    <col min="9" max="13" width="13.54296875" style="20" customWidth="1"/>
    <col min="14" max="14" width="11.81640625" style="20" customWidth="1"/>
    <col min="15" max="18" width="13.54296875" style="20" customWidth="1"/>
    <col min="19" max="22" width="13.7265625" style="20" customWidth="1"/>
    <col min="23" max="26" width="13.1796875" style="20" customWidth="1"/>
    <col min="27" max="27" width="13.54296875" style="20" customWidth="1"/>
    <col min="28" max="28" width="13.1796875" style="20" customWidth="1"/>
    <col min="29" max="31" width="13.54296875" style="20" customWidth="1"/>
    <col min="32" max="33" width="13.1796875" style="20" customWidth="1"/>
    <col min="34" max="35" width="18.453125" style="20" customWidth="1"/>
    <col min="36" max="36" width="10.81640625" style="20" bestFit="1" customWidth="1"/>
    <col min="37" max="37" width="11.7265625" style="20" bestFit="1" customWidth="1"/>
    <col min="38" max="42" width="10.81640625" style="20" bestFit="1" customWidth="1"/>
    <col min="43" max="16384" width="8.7265625" style="20"/>
  </cols>
  <sheetData>
    <row r="1" spans="1:52" x14ac:dyDescent="0.35">
      <c r="A1" s="69"/>
      <c r="B1" s="70" t="s">
        <v>0</v>
      </c>
      <c r="C1" s="71"/>
      <c r="D1" s="69"/>
      <c r="E1" s="69"/>
      <c r="F1" s="69"/>
      <c r="G1" s="2"/>
      <c r="H1" s="2"/>
      <c r="I1" s="2"/>
      <c r="J1" s="2"/>
      <c r="K1" s="2"/>
      <c r="L1" s="2"/>
      <c r="M1" s="2"/>
      <c r="N1" s="2"/>
      <c r="O1" s="2"/>
      <c r="P1" s="2"/>
      <c r="Q1" s="2"/>
      <c r="R1" s="2"/>
      <c r="S1" s="76"/>
      <c r="T1" s="76"/>
      <c r="U1" s="76"/>
      <c r="V1" s="76"/>
      <c r="W1" s="76"/>
      <c r="X1" s="76"/>
      <c r="Y1" s="76"/>
      <c r="Z1" s="76"/>
      <c r="AA1" s="76"/>
      <c r="AB1" s="76"/>
      <c r="AC1" s="76"/>
      <c r="AD1" s="76"/>
    </row>
    <row r="2" spans="1:52" ht="35.5" customHeight="1" x14ac:dyDescent="0.35">
      <c r="A2" s="67"/>
      <c r="B2" s="72" t="s">
        <v>1</v>
      </c>
      <c r="C2" s="68"/>
      <c r="D2" s="68"/>
      <c r="E2" s="68"/>
      <c r="F2" s="68"/>
      <c r="G2" s="2"/>
      <c r="H2" s="2"/>
      <c r="I2" s="2"/>
      <c r="J2" s="2"/>
      <c r="K2" s="2"/>
      <c r="L2" s="2"/>
      <c r="M2" s="2"/>
      <c r="N2" s="2"/>
      <c r="O2" s="2"/>
      <c r="P2" s="2"/>
      <c r="Q2" s="2"/>
      <c r="R2" s="2"/>
      <c r="S2" s="76"/>
      <c r="T2" s="76"/>
      <c r="U2" s="76"/>
      <c r="V2" s="76"/>
      <c r="W2" s="76"/>
      <c r="X2" s="76"/>
      <c r="Y2" s="76"/>
      <c r="Z2" s="76"/>
      <c r="AA2" s="76"/>
      <c r="AB2" s="76"/>
      <c r="AC2" s="76"/>
      <c r="AD2" s="77"/>
      <c r="AE2" s="78"/>
      <c r="AF2" s="53"/>
      <c r="AG2" s="53"/>
      <c r="AH2" s="53"/>
      <c r="AI2" s="53"/>
    </row>
    <row r="3" spans="1:52" ht="48.65" customHeight="1" x14ac:dyDescent="0.35">
      <c r="A3" s="66"/>
      <c r="B3" s="150" t="s">
        <v>2</v>
      </c>
      <c r="C3" s="150"/>
      <c r="D3" s="150"/>
      <c r="E3" s="150"/>
      <c r="F3" s="69"/>
      <c r="G3" s="2"/>
      <c r="H3" s="2"/>
      <c r="I3" s="2"/>
      <c r="J3" s="2"/>
      <c r="K3" s="2"/>
      <c r="L3" s="2"/>
      <c r="M3" s="2"/>
      <c r="N3" s="2"/>
      <c r="O3" s="2"/>
      <c r="P3" s="2"/>
      <c r="Q3" s="2"/>
      <c r="R3" s="2"/>
      <c r="S3" s="76"/>
      <c r="T3" s="76"/>
      <c r="U3" s="76"/>
      <c r="V3" s="76"/>
      <c r="W3" s="76"/>
      <c r="X3" s="76"/>
      <c r="Y3" s="76"/>
      <c r="Z3" s="76"/>
      <c r="AA3" s="76"/>
      <c r="AB3" s="76"/>
      <c r="AC3" s="76"/>
      <c r="AD3" s="77"/>
      <c r="AE3" s="78"/>
      <c r="AF3" s="53"/>
      <c r="AG3" s="53"/>
      <c r="AH3" s="53"/>
      <c r="AI3" s="53"/>
    </row>
    <row r="4" spans="1:52" ht="32.5" customHeight="1" x14ac:dyDescent="0.35">
      <c r="B4" s="151" t="s">
        <v>313</v>
      </c>
      <c r="C4" s="151"/>
      <c r="D4" s="151"/>
      <c r="E4" s="151"/>
      <c r="G4" s="2"/>
      <c r="H4" s="2"/>
      <c r="I4" s="2"/>
      <c r="J4" s="2"/>
      <c r="K4" s="2"/>
      <c r="L4" s="2"/>
      <c r="M4" s="2"/>
      <c r="N4" s="2"/>
      <c r="O4" s="2"/>
      <c r="P4" s="2"/>
      <c r="Q4" s="2"/>
      <c r="R4" s="2"/>
      <c r="S4" s="76"/>
      <c r="T4" s="76"/>
      <c r="U4" s="76"/>
      <c r="V4" s="76"/>
      <c r="W4" s="76"/>
      <c r="X4" s="76"/>
      <c r="Y4" s="76"/>
      <c r="Z4" s="76"/>
      <c r="AA4" s="76"/>
      <c r="AB4" s="76"/>
      <c r="AC4" s="76"/>
      <c r="AD4" s="77"/>
      <c r="AE4" s="78"/>
      <c r="AF4" s="53"/>
      <c r="AG4" s="53"/>
      <c r="AH4" s="53"/>
      <c r="AI4" s="53"/>
    </row>
    <row r="5" spans="1:52" ht="17.5" customHeight="1" x14ac:dyDescent="0.35">
      <c r="B5" s="155" t="s">
        <v>312</v>
      </c>
      <c r="C5" s="155"/>
      <c r="D5" s="155"/>
      <c r="E5" s="155"/>
      <c r="G5" s="2"/>
      <c r="H5" s="2"/>
      <c r="I5" s="2"/>
      <c r="J5" s="2"/>
      <c r="K5" s="2"/>
      <c r="L5" s="2"/>
      <c r="M5" s="2"/>
      <c r="N5" s="2"/>
      <c r="O5" s="2"/>
      <c r="P5" s="2"/>
      <c r="Q5" s="2"/>
      <c r="R5" s="2"/>
      <c r="S5" s="76"/>
      <c r="T5" s="76"/>
      <c r="U5" s="76"/>
      <c r="V5" s="76"/>
      <c r="W5" s="76"/>
      <c r="X5" s="76"/>
      <c r="Y5" s="76"/>
      <c r="Z5" s="76"/>
      <c r="AA5" s="76"/>
      <c r="AB5" s="76"/>
      <c r="AC5" s="76"/>
      <c r="AD5" s="77"/>
      <c r="AE5" s="78"/>
      <c r="AF5" s="53"/>
      <c r="AG5" s="53"/>
      <c r="AH5" s="53"/>
      <c r="AI5" s="53"/>
    </row>
    <row r="6" spans="1:52" ht="72" customHeight="1" x14ac:dyDescent="0.35">
      <c r="B6" s="151" t="s">
        <v>311</v>
      </c>
      <c r="C6" s="151"/>
      <c r="D6" s="151"/>
      <c r="E6" s="151"/>
      <c r="G6" s="2"/>
      <c r="H6" s="2"/>
      <c r="I6" s="2"/>
      <c r="J6" s="2"/>
      <c r="K6" s="2"/>
      <c r="L6" s="2"/>
      <c r="M6" s="2"/>
      <c r="N6" s="2"/>
      <c r="O6" s="2"/>
      <c r="P6" s="2"/>
      <c r="Q6" s="2"/>
      <c r="R6" s="2"/>
      <c r="S6" s="76"/>
      <c r="T6" s="76"/>
      <c r="U6" s="76"/>
      <c r="V6" s="76"/>
      <c r="W6" s="76"/>
      <c r="X6" s="76"/>
      <c r="Y6" s="76"/>
      <c r="Z6" s="76"/>
      <c r="AA6" s="76"/>
      <c r="AB6" s="76"/>
      <c r="AC6" s="76"/>
      <c r="AD6" s="76"/>
      <c r="AE6" s="78"/>
      <c r="AF6" s="53"/>
      <c r="AG6" s="53"/>
      <c r="AH6" s="53"/>
      <c r="AI6" s="53"/>
    </row>
    <row r="7" spans="1:52" ht="94.5" customHeight="1" x14ac:dyDescent="0.35">
      <c r="B7" s="151" t="s">
        <v>314</v>
      </c>
      <c r="C7" s="151"/>
      <c r="D7" s="151"/>
      <c r="E7" s="151"/>
      <c r="G7" s="2"/>
      <c r="H7" s="2"/>
      <c r="I7" s="2"/>
      <c r="J7" s="2"/>
      <c r="K7" s="2"/>
      <c r="L7" s="2"/>
      <c r="M7" s="2"/>
      <c r="N7" s="2"/>
      <c r="O7" s="2"/>
      <c r="P7" s="2"/>
      <c r="Q7" s="2"/>
      <c r="R7" s="2"/>
      <c r="S7" s="76"/>
      <c r="T7" s="76"/>
      <c r="U7" s="76"/>
      <c r="V7" s="76"/>
      <c r="W7" s="76"/>
      <c r="X7" s="76"/>
      <c r="Y7" s="76"/>
      <c r="Z7" s="76"/>
      <c r="AA7" s="76"/>
      <c r="AB7" s="76"/>
      <c r="AC7" s="76"/>
      <c r="AD7" s="76"/>
      <c r="AE7" s="78"/>
      <c r="AF7" s="53"/>
      <c r="AG7" s="53"/>
      <c r="AH7" s="53"/>
      <c r="AI7" s="53"/>
    </row>
    <row r="8" spans="1:52" ht="80.5" customHeight="1" x14ac:dyDescent="0.35">
      <c r="B8" s="151" t="s">
        <v>315</v>
      </c>
      <c r="C8" s="151"/>
      <c r="D8" s="151"/>
      <c r="E8" s="151"/>
      <c r="G8" s="2"/>
      <c r="H8" s="2"/>
      <c r="I8" s="2"/>
      <c r="J8" s="2"/>
      <c r="K8" s="2"/>
      <c r="L8" s="2"/>
      <c r="M8" s="2"/>
      <c r="N8" s="2"/>
      <c r="O8" s="2"/>
      <c r="P8" s="2"/>
      <c r="Q8" s="2"/>
      <c r="R8" s="86" t="s">
        <v>3</v>
      </c>
      <c r="S8" s="77"/>
      <c r="T8" s="77"/>
      <c r="U8" s="77"/>
      <c r="V8" s="76"/>
      <c r="W8" s="76"/>
      <c r="X8" s="76"/>
      <c r="Y8" s="76"/>
      <c r="Z8" s="76"/>
      <c r="AA8" s="76"/>
      <c r="AB8" s="76"/>
      <c r="AC8" s="76"/>
      <c r="AD8" s="76"/>
      <c r="AE8" s="78"/>
      <c r="AF8" s="53"/>
      <c r="AG8" s="53"/>
      <c r="AH8" s="53"/>
      <c r="AI8" s="53"/>
    </row>
    <row r="9" spans="1:52" ht="37" customHeight="1" x14ac:dyDescent="0.35">
      <c r="B9" s="152" t="s">
        <v>316</v>
      </c>
      <c r="C9" s="152"/>
      <c r="D9" s="152"/>
      <c r="E9" s="152"/>
      <c r="G9" s="2"/>
      <c r="H9" s="2"/>
      <c r="I9" s="2"/>
      <c r="J9" s="2"/>
      <c r="K9" s="2"/>
      <c r="L9" s="2"/>
      <c r="M9" s="2"/>
      <c r="N9" s="2"/>
      <c r="O9" s="2"/>
      <c r="P9" s="2"/>
      <c r="Q9" s="2"/>
      <c r="R9" s="87" t="s">
        <v>4</v>
      </c>
      <c r="S9" s="87" t="s">
        <v>5</v>
      </c>
      <c r="T9" s="87" t="s">
        <v>6</v>
      </c>
      <c r="U9" s="77"/>
      <c r="V9" s="76"/>
      <c r="W9" s="76"/>
      <c r="X9" s="76"/>
      <c r="Y9" s="76"/>
      <c r="Z9" s="76"/>
      <c r="AA9" s="76"/>
      <c r="AB9" s="76"/>
      <c r="AC9" s="76"/>
      <c r="AD9" s="76"/>
      <c r="AE9" s="78"/>
      <c r="AF9" s="53"/>
      <c r="AG9" s="53"/>
      <c r="AH9" s="53"/>
      <c r="AI9" s="53"/>
    </row>
    <row r="10" spans="1:52" ht="15.65" customHeight="1" x14ac:dyDescent="0.35">
      <c r="A10" s="15"/>
      <c r="B10" s="64"/>
      <c r="C10" s="64"/>
      <c r="D10" s="64"/>
      <c r="E10" s="64"/>
      <c r="F10" s="64"/>
      <c r="G10" s="2"/>
      <c r="H10" s="2"/>
      <c r="I10" s="2"/>
      <c r="J10" s="2"/>
      <c r="K10" s="2"/>
      <c r="L10" s="2"/>
      <c r="M10" s="2"/>
      <c r="N10" s="2"/>
      <c r="O10" s="2"/>
      <c r="P10" s="2"/>
      <c r="Q10" s="2"/>
      <c r="R10" s="87" t="s">
        <v>7</v>
      </c>
      <c r="S10" s="87" t="s">
        <v>8</v>
      </c>
      <c r="T10" s="87" t="s">
        <v>9</v>
      </c>
      <c r="U10" s="77"/>
      <c r="V10" s="76"/>
      <c r="W10" s="76"/>
      <c r="X10" s="76"/>
      <c r="Y10" s="76"/>
      <c r="Z10" s="76"/>
      <c r="AA10" s="76"/>
      <c r="AB10" s="76"/>
      <c r="AC10" s="76"/>
      <c r="AD10" s="76"/>
      <c r="AE10" s="78"/>
      <c r="AF10" s="53"/>
      <c r="AG10" s="53"/>
      <c r="AH10" s="53"/>
      <c r="AI10" s="53"/>
    </row>
    <row r="11" spans="1:52" ht="23.5" x14ac:dyDescent="0.35">
      <c r="A11" s="15"/>
      <c r="B11" s="54" t="s">
        <v>10</v>
      </c>
      <c r="C11" s="15"/>
      <c r="D11" s="15"/>
      <c r="E11" s="15"/>
      <c r="F11" s="15"/>
      <c r="G11" s="75" t="s">
        <v>11</v>
      </c>
      <c r="H11" s="2"/>
      <c r="I11" s="2"/>
      <c r="J11" s="2"/>
      <c r="K11" s="2"/>
      <c r="L11" s="2"/>
      <c r="M11" s="2"/>
      <c r="N11" s="2"/>
      <c r="O11" s="2"/>
      <c r="P11" s="2"/>
      <c r="Q11" s="2"/>
      <c r="R11" s="87" t="s">
        <v>253</v>
      </c>
      <c r="S11" s="87" t="s">
        <v>9</v>
      </c>
      <c r="T11" s="87" t="s">
        <v>6</v>
      </c>
      <c r="U11" s="77"/>
      <c r="V11" s="76"/>
      <c r="W11" s="76"/>
      <c r="X11" s="76"/>
      <c r="Y11" s="76"/>
      <c r="Z11" s="76"/>
      <c r="AA11" s="76"/>
      <c r="AB11" s="76"/>
      <c r="AC11" s="76"/>
      <c r="AD11" s="76"/>
      <c r="AE11" s="78"/>
      <c r="AF11" s="53"/>
      <c r="AG11" s="53"/>
      <c r="AH11" s="53"/>
      <c r="AI11" s="53"/>
    </row>
    <row r="12" spans="1:52" ht="19" thickBot="1" x14ac:dyDescent="0.4">
      <c r="A12" s="15"/>
      <c r="B12" s="3" t="s">
        <v>12</v>
      </c>
      <c r="C12" s="4"/>
      <c r="D12" s="5" t="s">
        <v>13</v>
      </c>
      <c r="E12" s="4"/>
      <c r="F12" s="4"/>
      <c r="G12" s="2"/>
      <c r="H12" s="2"/>
      <c r="I12" s="2"/>
      <c r="J12" s="2"/>
      <c r="K12" s="2"/>
      <c r="L12" s="2"/>
      <c r="M12" s="2"/>
      <c r="N12" s="2"/>
      <c r="O12" s="2"/>
      <c r="P12" s="2"/>
      <c r="Q12" s="2"/>
      <c r="R12" s="87" t="s">
        <v>254</v>
      </c>
      <c r="S12" s="87" t="s">
        <v>14</v>
      </c>
      <c r="T12" s="87" t="s">
        <v>15</v>
      </c>
      <c r="U12" s="77"/>
      <c r="V12" s="76"/>
      <c r="W12" s="76"/>
      <c r="X12" s="76"/>
      <c r="Y12" s="76"/>
      <c r="Z12" s="76"/>
      <c r="AA12" s="76"/>
      <c r="AB12" s="76"/>
      <c r="AC12" s="76"/>
      <c r="AD12" s="76"/>
      <c r="AE12" s="78"/>
      <c r="AF12" s="53"/>
      <c r="AG12" s="53"/>
      <c r="AH12" s="53"/>
      <c r="AI12" s="53"/>
    </row>
    <row r="13" spans="1:52" ht="19.5" thickTop="1" thickBot="1" x14ac:dyDescent="0.4">
      <c r="A13" s="15"/>
      <c r="B13" s="56" t="s">
        <v>16</v>
      </c>
      <c r="C13" s="51">
        <v>2033</v>
      </c>
      <c r="D13" s="147" t="s">
        <v>317</v>
      </c>
      <c r="E13" s="147"/>
      <c r="F13" s="64"/>
      <c r="G13" s="2"/>
      <c r="H13" s="65"/>
      <c r="I13" s="65"/>
      <c r="J13" s="65"/>
      <c r="K13" s="65"/>
      <c r="L13" s="65"/>
      <c r="M13" s="65"/>
      <c r="N13" s="65"/>
      <c r="O13" s="65"/>
      <c r="P13" s="65"/>
      <c r="Q13" s="65"/>
      <c r="R13" s="87" t="s">
        <v>255</v>
      </c>
      <c r="S13" s="87" t="s">
        <v>17</v>
      </c>
      <c r="T13" s="87"/>
      <c r="U13" s="77"/>
      <c r="V13" s="76"/>
      <c r="W13" s="76"/>
      <c r="X13" s="76"/>
      <c r="Y13" s="76"/>
      <c r="Z13" s="76"/>
      <c r="AA13" s="76"/>
      <c r="AB13" s="76"/>
      <c r="AC13" s="76"/>
      <c r="AD13" s="76"/>
      <c r="AE13" s="78"/>
      <c r="AF13" s="53"/>
      <c r="AG13" s="53"/>
      <c r="AH13" s="53"/>
      <c r="AI13" s="53"/>
    </row>
    <row r="14" spans="1:52" ht="23.15" customHeight="1" thickTop="1" thickBot="1" x14ac:dyDescent="0.4">
      <c r="A14" s="15"/>
      <c r="B14" s="56" t="s">
        <v>18</v>
      </c>
      <c r="C14" s="51" t="s">
        <v>4</v>
      </c>
      <c r="D14" s="147" t="s">
        <v>19</v>
      </c>
      <c r="E14" s="147"/>
      <c r="F14" s="64"/>
      <c r="G14" s="2"/>
      <c r="H14" s="65"/>
      <c r="I14" s="65"/>
      <c r="J14" s="65"/>
      <c r="K14" s="65"/>
      <c r="L14" s="65"/>
      <c r="M14" s="65"/>
      <c r="N14" s="65"/>
      <c r="O14" s="65"/>
      <c r="P14" s="65"/>
      <c r="Q14" s="65"/>
      <c r="R14" s="87" t="s">
        <v>256</v>
      </c>
      <c r="S14" s="87" t="s">
        <v>20</v>
      </c>
      <c r="T14" s="87"/>
      <c r="U14" s="77"/>
      <c r="V14" s="76"/>
      <c r="W14" s="76"/>
      <c r="X14" s="76"/>
      <c r="Y14" s="76"/>
      <c r="Z14" s="76"/>
      <c r="AA14" s="76"/>
      <c r="AB14" s="76"/>
      <c r="AC14" s="76"/>
      <c r="AD14" s="76"/>
      <c r="AE14" s="78"/>
      <c r="AF14" s="53"/>
      <c r="AG14" s="53"/>
      <c r="AH14" s="53"/>
      <c r="AI14" s="53"/>
    </row>
    <row r="15" spans="1:52" ht="19.5" thickTop="1" thickBot="1" x14ac:dyDescent="0.4">
      <c r="A15" s="16"/>
      <c r="B15" s="56" t="s">
        <v>21</v>
      </c>
      <c r="C15" s="51" t="s">
        <v>8</v>
      </c>
      <c r="D15" s="147" t="s">
        <v>318</v>
      </c>
      <c r="E15" s="147"/>
      <c r="F15" s="64"/>
      <c r="G15" s="2"/>
      <c r="H15" s="65"/>
      <c r="I15" s="65"/>
      <c r="J15" s="65"/>
      <c r="K15" s="65"/>
      <c r="L15" s="65"/>
      <c r="M15" s="65"/>
      <c r="N15" s="65"/>
      <c r="O15" s="65"/>
      <c r="P15" s="65"/>
      <c r="Q15" s="65"/>
      <c r="R15" s="87" t="s">
        <v>22</v>
      </c>
      <c r="S15" s="87" t="s">
        <v>23</v>
      </c>
      <c r="T15" s="87"/>
      <c r="U15" s="77"/>
      <c r="V15" s="76"/>
      <c r="W15" s="76"/>
      <c r="X15" s="76"/>
      <c r="Y15" s="76"/>
      <c r="Z15" s="76"/>
      <c r="AA15" s="76"/>
      <c r="AB15" s="76"/>
      <c r="AC15" s="76"/>
      <c r="AD15" s="76"/>
      <c r="AE15" s="78"/>
      <c r="AF15" s="53"/>
      <c r="AG15" s="53"/>
      <c r="AH15" s="53"/>
      <c r="AI15" s="53"/>
    </row>
    <row r="16" spans="1:52" ht="19.5" thickTop="1" thickBot="1" x14ac:dyDescent="0.4">
      <c r="A16" s="15"/>
      <c r="B16" s="56" t="s">
        <v>24</v>
      </c>
      <c r="C16" s="52">
        <f>IFERROR(INDEX(Data!$B$4:$E$6,MATCH($C$14,Data!$B$4:$B$6,0),MATCH($C$15,Data!$B$4:$E$4,0)),"NA")</f>
        <v>94.311786567164177</v>
      </c>
      <c r="D16" s="147" t="str">
        <f>IF(C15="IMO LCA",Data!E8,IF(C15="EU Reference","FuelEU Regulation (EU) 2023/1805 Article 4",""))</f>
        <v>VLSFO Values from MEPC 81/16/Add.1, Annex 10, Appendix 2 (pg 49)</v>
      </c>
      <c r="E16" s="147"/>
      <c r="F16" s="64"/>
      <c r="G16" s="2"/>
      <c r="H16" s="65"/>
      <c r="I16" s="65"/>
      <c r="J16" s="65"/>
      <c r="K16" s="65"/>
      <c r="L16" s="65"/>
      <c r="M16" s="65"/>
      <c r="N16" s="65"/>
      <c r="O16" s="65"/>
      <c r="P16" s="65"/>
      <c r="Q16" s="65"/>
      <c r="R16" s="87" t="s">
        <v>25</v>
      </c>
      <c r="S16" s="87" t="s">
        <v>26</v>
      </c>
      <c r="T16" s="77"/>
      <c r="U16" s="77"/>
      <c r="V16" s="76"/>
      <c r="W16" s="76"/>
      <c r="X16" s="76"/>
      <c r="Y16" s="76"/>
      <c r="Z16" s="76"/>
      <c r="AA16" s="76"/>
      <c r="AB16" s="76"/>
      <c r="AC16" s="76"/>
      <c r="AD16" s="76"/>
      <c r="AE16" s="78"/>
      <c r="AF16" s="53"/>
      <c r="AG16" s="53"/>
      <c r="AH16" s="53"/>
      <c r="AI16" s="53"/>
      <c r="AJ16" s="53"/>
      <c r="AK16" s="53"/>
      <c r="AL16" s="53"/>
      <c r="AM16" s="53"/>
      <c r="AN16" s="53"/>
      <c r="AO16" s="53"/>
      <c r="AP16" s="53"/>
      <c r="AQ16" s="53"/>
      <c r="AR16" s="53"/>
      <c r="AS16" s="53"/>
      <c r="AT16" s="53"/>
      <c r="AU16" s="53"/>
      <c r="AV16" s="53"/>
      <c r="AW16" s="53"/>
      <c r="AX16" s="53"/>
      <c r="AY16" s="53"/>
      <c r="AZ16" s="53"/>
    </row>
    <row r="17" spans="1:52" ht="64" customHeight="1" thickTop="1" x14ac:dyDescent="0.35">
      <c r="A17" s="15"/>
      <c r="B17" s="56" t="s">
        <v>249</v>
      </c>
      <c r="C17" s="89" t="s">
        <v>251</v>
      </c>
      <c r="D17" s="147" t="s">
        <v>303</v>
      </c>
      <c r="E17" s="147"/>
      <c r="F17" s="64"/>
      <c r="G17" s="2"/>
      <c r="H17" s="65"/>
      <c r="I17" s="65"/>
      <c r="J17" s="65"/>
      <c r="K17" s="65"/>
      <c r="L17" s="65"/>
      <c r="M17" s="65"/>
      <c r="N17" s="65"/>
      <c r="O17" s="65"/>
      <c r="P17" s="65"/>
      <c r="Q17" s="65"/>
      <c r="R17" s="87" t="s">
        <v>27</v>
      </c>
      <c r="S17" s="87" t="s">
        <v>28</v>
      </c>
      <c r="T17" s="77"/>
      <c r="U17" s="77"/>
      <c r="V17" s="76"/>
      <c r="W17" s="76"/>
      <c r="X17" s="76"/>
      <c r="Y17" s="76"/>
      <c r="Z17" s="76"/>
      <c r="AA17" s="76"/>
      <c r="AB17" s="76"/>
      <c r="AC17" s="76"/>
      <c r="AD17" s="76"/>
      <c r="AE17" s="78"/>
      <c r="AF17" s="53"/>
      <c r="AG17" s="53"/>
      <c r="AH17" s="53"/>
      <c r="AI17" s="53"/>
      <c r="AJ17" s="53"/>
      <c r="AK17" s="53"/>
      <c r="AL17" s="53"/>
      <c r="AM17" s="53"/>
      <c r="AN17" s="53"/>
      <c r="AO17" s="53"/>
      <c r="AP17" s="53"/>
      <c r="AQ17" s="53"/>
      <c r="AR17" s="53"/>
      <c r="AS17" s="53"/>
      <c r="AT17" s="53"/>
      <c r="AU17" s="53"/>
      <c r="AV17" s="53"/>
      <c r="AW17" s="53"/>
      <c r="AX17" s="53"/>
      <c r="AY17" s="53"/>
      <c r="AZ17" s="53"/>
    </row>
    <row r="18" spans="1:52" ht="18.5" x14ac:dyDescent="0.35">
      <c r="A18" s="15"/>
      <c r="B18" s="57"/>
      <c r="C18" s="15"/>
      <c r="D18" s="15"/>
      <c r="E18" s="15"/>
      <c r="F18" s="64"/>
      <c r="G18" s="2"/>
      <c r="H18" s="65"/>
      <c r="I18" s="65"/>
      <c r="J18" s="65"/>
      <c r="K18" s="65"/>
      <c r="L18" s="65"/>
      <c r="M18" s="65"/>
      <c r="N18" s="65"/>
      <c r="O18" s="65"/>
      <c r="P18" s="65"/>
      <c r="Q18" s="65"/>
      <c r="R18" s="87" t="s">
        <v>30</v>
      </c>
      <c r="S18" s="87" t="s">
        <v>31</v>
      </c>
      <c r="T18" s="77"/>
      <c r="U18" s="77"/>
      <c r="V18" s="76"/>
      <c r="W18" s="76"/>
      <c r="X18" s="76"/>
      <c r="Y18" s="76"/>
      <c r="Z18" s="76"/>
      <c r="AA18" s="76"/>
      <c r="AB18" s="76"/>
      <c r="AC18" s="76"/>
      <c r="AD18" s="76"/>
      <c r="AE18" s="78"/>
      <c r="AF18" s="53"/>
      <c r="AG18" s="53"/>
      <c r="AH18" s="53"/>
      <c r="AI18" s="53"/>
      <c r="AJ18" s="53"/>
      <c r="AK18" s="53"/>
      <c r="AL18" s="53"/>
      <c r="AM18" s="53"/>
      <c r="AN18" s="53"/>
      <c r="AO18" s="53"/>
      <c r="AP18" s="53"/>
      <c r="AQ18" s="53"/>
      <c r="AR18" s="53"/>
      <c r="AS18" s="53"/>
      <c r="AT18" s="53"/>
      <c r="AU18" s="53"/>
      <c r="AV18" s="53"/>
      <c r="AW18" s="53"/>
      <c r="AX18" s="53"/>
      <c r="AY18" s="53"/>
      <c r="AZ18" s="53"/>
    </row>
    <row r="19" spans="1:52" ht="17.149999999999999" customHeight="1" thickBot="1" x14ac:dyDescent="0.4">
      <c r="A19" s="15"/>
      <c r="B19" s="55" t="s">
        <v>29</v>
      </c>
      <c r="C19" s="8"/>
      <c r="D19" s="58"/>
      <c r="E19" s="58"/>
      <c r="F19" s="64"/>
      <c r="G19" s="2"/>
      <c r="H19" s="65"/>
      <c r="I19" s="65"/>
      <c r="J19" s="65"/>
      <c r="K19" s="65"/>
      <c r="L19" s="65"/>
      <c r="M19" s="65"/>
      <c r="N19" s="65"/>
      <c r="O19" s="65"/>
      <c r="P19" s="65"/>
      <c r="Q19" s="65"/>
      <c r="R19" s="87" t="s">
        <v>9</v>
      </c>
      <c r="S19" s="87" t="s">
        <v>250</v>
      </c>
      <c r="T19" s="77"/>
      <c r="U19" s="77"/>
      <c r="V19" s="76"/>
      <c r="W19" s="76"/>
      <c r="X19" s="76"/>
      <c r="Y19" s="76"/>
      <c r="Z19" s="76"/>
      <c r="AA19" s="76"/>
      <c r="AB19" s="76"/>
      <c r="AC19" s="76"/>
      <c r="AD19" s="76"/>
      <c r="AE19" s="78"/>
      <c r="AF19" s="53"/>
      <c r="AG19" s="53"/>
      <c r="AH19" s="53"/>
      <c r="AI19" s="53"/>
      <c r="AJ19" s="53"/>
      <c r="AK19" s="53"/>
      <c r="AL19" s="53"/>
      <c r="AM19" s="53"/>
      <c r="AN19" s="53"/>
      <c r="AO19" s="53"/>
      <c r="AP19" s="53"/>
      <c r="AQ19" s="53"/>
      <c r="AR19" s="53"/>
      <c r="AS19" s="53"/>
      <c r="AT19" s="53"/>
      <c r="AU19" s="53"/>
      <c r="AV19" s="53"/>
      <c r="AW19" s="53"/>
      <c r="AX19" s="53"/>
      <c r="AY19" s="53"/>
      <c r="AZ19" s="53"/>
    </row>
    <row r="20" spans="1:52" ht="24.65" customHeight="1" thickTop="1" thickBot="1" x14ac:dyDescent="0.4">
      <c r="A20" s="15"/>
      <c r="B20" s="56" t="str">
        <f>IF(C17="One-tier","Choose target/requirement level","")</f>
        <v/>
      </c>
      <c r="C20" s="6" t="s">
        <v>255</v>
      </c>
      <c r="D20" s="147" t="str">
        <f>IF(C17="One-tier","Based on lower 'base' and upper 'striving' bound of 2023 IMO GHG Strategy target range. The values were taken from the MEPC 82 Working Paper (MEPC82.WP9).","Note: Target/requirements are fixed in our analysis of a two-tier GFS. The Lower Tier is set at 'base' and Upper Tier is set at 'striving' from MEPC82.WP9")</f>
        <v>Note: Target/requirements are fixed in our analysis of a two-tier GFS. The Lower Tier is set at 'base' and Upper Tier is set at 'striving' from MEPC82.WP9</v>
      </c>
      <c r="E20" s="147"/>
      <c r="F20" s="64"/>
      <c r="G20" s="2"/>
      <c r="H20" s="65"/>
      <c r="I20" s="65"/>
      <c r="J20" s="65"/>
      <c r="K20" s="65"/>
      <c r="L20" s="65"/>
      <c r="M20" s="65"/>
      <c r="N20" s="65"/>
      <c r="O20" s="65"/>
      <c r="P20" s="65"/>
      <c r="Q20" s="65"/>
      <c r="R20" s="87" t="s">
        <v>305</v>
      </c>
      <c r="S20" s="77" t="s">
        <v>251</v>
      </c>
      <c r="T20" s="77"/>
      <c r="U20" s="77"/>
      <c r="V20" s="76"/>
      <c r="W20" s="76"/>
      <c r="X20" s="76"/>
      <c r="Y20" s="76"/>
      <c r="Z20" s="76"/>
      <c r="AA20" s="76"/>
      <c r="AB20" s="76"/>
      <c r="AC20" s="76"/>
      <c r="AD20" s="76"/>
      <c r="AE20" s="78"/>
      <c r="AF20" s="53"/>
      <c r="AG20" s="53"/>
      <c r="AH20" s="53"/>
      <c r="AI20" s="53"/>
      <c r="AJ20" s="53"/>
      <c r="AK20" s="53"/>
      <c r="AL20" s="53"/>
      <c r="AM20" s="53"/>
      <c r="AN20" s="53"/>
      <c r="AO20" s="53"/>
      <c r="AP20" s="53"/>
      <c r="AQ20" s="53"/>
      <c r="AR20" s="53"/>
      <c r="AS20" s="53"/>
      <c r="AT20" s="53"/>
      <c r="AU20" s="53"/>
      <c r="AV20" s="53"/>
      <c r="AW20" s="53"/>
      <c r="AX20" s="53"/>
      <c r="AY20" s="53"/>
      <c r="AZ20" s="53"/>
    </row>
    <row r="21" spans="1:52" ht="25" customHeight="1" thickTop="1" thickBot="1" x14ac:dyDescent="0.4">
      <c r="A21" s="15"/>
      <c r="B21" s="56" t="s">
        <v>257</v>
      </c>
      <c r="C21" s="6" t="s">
        <v>253</v>
      </c>
      <c r="D21" s="147" t="s">
        <v>252</v>
      </c>
      <c r="E21" s="147"/>
      <c r="F21" s="64"/>
      <c r="G21" s="65"/>
      <c r="H21" s="65"/>
      <c r="I21" s="65"/>
      <c r="J21" s="65"/>
      <c r="K21" s="65"/>
      <c r="L21" s="65"/>
      <c r="M21" s="65"/>
      <c r="N21" s="65"/>
      <c r="O21" s="65"/>
      <c r="P21" s="65"/>
      <c r="Q21" s="65"/>
      <c r="R21" s="87" t="s">
        <v>306</v>
      </c>
      <c r="S21" s="87"/>
      <c r="T21" s="77"/>
      <c r="U21" s="77"/>
      <c r="V21" s="76"/>
      <c r="W21" s="76"/>
      <c r="X21" s="76"/>
      <c r="Y21" s="76"/>
      <c r="Z21" s="76"/>
      <c r="AA21" s="76"/>
      <c r="AB21" s="76"/>
      <c r="AC21" s="76"/>
      <c r="AD21" s="76"/>
      <c r="AE21" s="78"/>
      <c r="AF21" s="53"/>
      <c r="AG21" s="53"/>
      <c r="AH21" s="53"/>
      <c r="AI21" s="53"/>
      <c r="AJ21" s="53"/>
      <c r="AK21" s="53"/>
      <c r="AL21" s="53"/>
      <c r="AM21" s="53"/>
      <c r="AN21" s="53"/>
      <c r="AO21" s="53"/>
      <c r="AP21" s="53"/>
      <c r="AQ21" s="53"/>
      <c r="AR21" s="53"/>
      <c r="AS21" s="53"/>
      <c r="AT21" s="53"/>
      <c r="AU21" s="53"/>
      <c r="AV21" s="53"/>
      <c r="AW21" s="53"/>
      <c r="AX21" s="53"/>
      <c r="AY21" s="53"/>
      <c r="AZ21" s="53"/>
    </row>
    <row r="22" spans="1:52" ht="19" thickTop="1" x14ac:dyDescent="0.35">
      <c r="A22" s="15"/>
      <c r="B22" s="15"/>
      <c r="C22" s="15"/>
      <c r="D22" s="15"/>
      <c r="E22" s="15"/>
      <c r="F22" s="64"/>
      <c r="G22" s="65"/>
      <c r="H22" s="65"/>
      <c r="I22" s="65"/>
      <c r="J22" s="65"/>
      <c r="K22" s="65"/>
      <c r="L22" s="65"/>
      <c r="M22" s="65"/>
      <c r="N22" s="65"/>
      <c r="O22" s="65"/>
      <c r="P22" s="65"/>
      <c r="Q22" s="65"/>
      <c r="R22" s="77" t="s">
        <v>307</v>
      </c>
      <c r="S22" s="87"/>
      <c r="T22" s="77"/>
      <c r="U22" s="77"/>
      <c r="V22" s="76"/>
      <c r="W22" s="76"/>
      <c r="X22" s="76"/>
      <c r="Y22" s="76"/>
      <c r="Z22" s="76"/>
      <c r="AA22" s="76"/>
      <c r="AB22" s="76"/>
      <c r="AC22" s="76"/>
      <c r="AD22" s="76"/>
      <c r="AE22" s="78"/>
      <c r="AF22" s="53"/>
      <c r="AG22" s="53"/>
      <c r="AH22" s="53"/>
      <c r="AI22" s="53"/>
      <c r="AJ22" s="53"/>
      <c r="AK22" s="53"/>
      <c r="AL22" s="53"/>
      <c r="AM22" s="53"/>
      <c r="AN22" s="53"/>
      <c r="AO22" s="53"/>
      <c r="AP22" s="53"/>
      <c r="AQ22" s="53"/>
      <c r="AR22" s="53"/>
      <c r="AS22" s="53"/>
      <c r="AT22" s="53"/>
      <c r="AU22" s="53"/>
      <c r="AV22" s="53"/>
      <c r="AW22" s="53"/>
      <c r="AX22" s="53"/>
      <c r="AY22" s="53"/>
      <c r="AZ22" s="53"/>
    </row>
    <row r="23" spans="1:52" ht="19" thickBot="1" x14ac:dyDescent="0.4">
      <c r="A23" s="15"/>
      <c r="B23" s="55" t="str">
        <f>IF(C14="WtW","GHG levy [USD/tonne CO2e (WtW)]","GHG levy [USD/tonne CO2e (TtW)]")</f>
        <v>GHG levy [USD/tonne CO2e (WtW)]</v>
      </c>
      <c r="C23" s="116" t="str">
        <f>IF(AND(C24&lt;&gt;"No Levy ($0)",C17="Two-tier"),"Warning: It is unlikely a Two-tier GFS will be combined with a Levy, suggested input: 'No Levy'","")</f>
        <v/>
      </c>
      <c r="D23" s="58"/>
      <c r="E23" s="58"/>
      <c r="F23" s="64"/>
      <c r="G23" s="65"/>
      <c r="H23" s="65"/>
      <c r="I23" s="65"/>
      <c r="J23" s="65"/>
      <c r="K23" s="65"/>
      <c r="L23" s="65"/>
      <c r="M23" s="65"/>
      <c r="N23" s="65"/>
      <c r="O23" s="65"/>
      <c r="P23" s="65"/>
      <c r="Q23" s="65"/>
      <c r="R23" s="77" t="s">
        <v>308</v>
      </c>
      <c r="S23" s="77"/>
      <c r="T23" s="77"/>
      <c r="U23" s="77"/>
      <c r="V23" s="76"/>
      <c r="W23" s="76"/>
      <c r="X23" s="76"/>
      <c r="Y23" s="76"/>
      <c r="Z23" s="76"/>
      <c r="AA23" s="76"/>
      <c r="AB23" s="76"/>
      <c r="AC23" s="76"/>
      <c r="AD23" s="76"/>
      <c r="AE23" s="78"/>
      <c r="AF23" s="53"/>
      <c r="AG23" s="53"/>
      <c r="AH23" s="53"/>
      <c r="AI23" s="53"/>
      <c r="AJ23" s="53"/>
      <c r="AK23" s="53"/>
      <c r="AL23" s="53"/>
      <c r="AM23" s="53"/>
      <c r="AN23" s="53"/>
      <c r="AO23" s="53"/>
      <c r="AP23" s="53"/>
      <c r="AQ23" s="53"/>
      <c r="AR23" s="53"/>
      <c r="AS23" s="53"/>
      <c r="AT23" s="53"/>
      <c r="AU23" s="53"/>
      <c r="AV23" s="53"/>
      <c r="AW23" s="53"/>
      <c r="AX23" s="53"/>
      <c r="AY23" s="53"/>
      <c r="AZ23" s="53"/>
    </row>
    <row r="24" spans="1:52" ht="19.5" thickTop="1" thickBot="1" x14ac:dyDescent="0.4">
      <c r="A24" s="15"/>
      <c r="B24" s="56" t="s">
        <v>32</v>
      </c>
      <c r="C24" s="6" t="s">
        <v>30</v>
      </c>
      <c r="D24" s="148" t="str">
        <f>IF(C24="Enter my own","",IF(C24="No Levy ($0)","","Source: "&amp;INDEX(Data!$B$13:$C$27,MATCH('CCC Summary'!$C$24,Data!$B$13:$B$27,0),2)))</f>
        <v/>
      </c>
      <c r="E24" s="147"/>
      <c r="F24" s="64"/>
      <c r="G24" s="65"/>
      <c r="H24" s="65"/>
      <c r="I24" s="65"/>
      <c r="J24" s="65"/>
      <c r="K24" s="65"/>
      <c r="L24" s="65"/>
      <c r="M24" s="65"/>
      <c r="N24" s="65"/>
      <c r="O24" s="65"/>
      <c r="P24" s="65"/>
      <c r="Q24" s="65"/>
      <c r="R24" s="87" t="s">
        <v>33</v>
      </c>
      <c r="S24" s="77"/>
      <c r="T24" s="77"/>
      <c r="U24" s="77"/>
      <c r="V24" s="76"/>
      <c r="W24" s="76"/>
      <c r="X24" s="76"/>
      <c r="Y24" s="76"/>
      <c r="Z24" s="76"/>
      <c r="AA24" s="76"/>
      <c r="AB24" s="76"/>
      <c r="AC24" s="76"/>
      <c r="AD24" s="76"/>
      <c r="AE24" s="78"/>
      <c r="AF24" s="53"/>
      <c r="AG24" s="53"/>
      <c r="AH24" s="53"/>
      <c r="AI24" s="53"/>
      <c r="AJ24" s="53"/>
      <c r="AK24" s="53"/>
      <c r="AL24" s="53"/>
      <c r="AM24" s="53"/>
      <c r="AN24" s="53"/>
      <c r="AO24" s="53"/>
      <c r="AP24" s="53"/>
      <c r="AQ24" s="53"/>
      <c r="AR24" s="53"/>
      <c r="AS24" s="53"/>
      <c r="AT24" s="53"/>
      <c r="AU24" s="53"/>
      <c r="AV24" s="53"/>
      <c r="AW24" s="53"/>
      <c r="AX24" s="53"/>
      <c r="AY24" s="53"/>
      <c r="AZ24" s="53"/>
    </row>
    <row r="25" spans="1:52" ht="19.5" thickTop="1" thickBot="1" x14ac:dyDescent="0.4">
      <c r="A25" s="15"/>
      <c r="B25" s="56" t="str">
        <f>IF(C24="Enter my own","Enter Levy [USD/tCO2e] -&gt;","")</f>
        <v/>
      </c>
      <c r="C25" s="7">
        <v>50</v>
      </c>
      <c r="D25" s="58"/>
      <c r="E25" s="58"/>
      <c r="F25" s="64"/>
      <c r="G25" s="65"/>
      <c r="H25" s="65"/>
      <c r="I25" s="65"/>
      <c r="J25" s="65"/>
      <c r="K25" s="65"/>
      <c r="L25" s="65"/>
      <c r="M25" s="65"/>
      <c r="N25" s="65"/>
      <c r="O25" s="65"/>
      <c r="P25" s="65"/>
      <c r="Q25" s="65"/>
      <c r="R25" s="87" t="s">
        <v>34</v>
      </c>
      <c r="S25" s="77"/>
      <c r="T25" s="77"/>
      <c r="U25" s="77"/>
      <c r="V25" s="76"/>
      <c r="W25" s="76"/>
      <c r="X25" s="76"/>
      <c r="Y25" s="76"/>
      <c r="Z25" s="76"/>
      <c r="AA25" s="76"/>
      <c r="AB25" s="76"/>
      <c r="AC25" s="76"/>
      <c r="AD25" s="76"/>
      <c r="AE25" s="78"/>
      <c r="AF25" s="53"/>
      <c r="AG25" s="53"/>
      <c r="AH25" s="53"/>
      <c r="AI25" s="53"/>
      <c r="AJ25" s="53"/>
      <c r="AK25" s="53"/>
      <c r="AL25" s="53"/>
      <c r="AM25" s="53"/>
      <c r="AN25" s="53"/>
      <c r="AO25" s="53"/>
      <c r="AP25" s="53"/>
      <c r="AQ25" s="53"/>
      <c r="AR25" s="53"/>
      <c r="AS25" s="53"/>
      <c r="AT25" s="53"/>
      <c r="AU25" s="53"/>
      <c r="AV25" s="53"/>
      <c r="AW25" s="53"/>
      <c r="AX25" s="53"/>
      <c r="AY25" s="53"/>
      <c r="AZ25" s="53"/>
    </row>
    <row r="26" spans="1:52" ht="19" thickTop="1" x14ac:dyDescent="0.35">
      <c r="A26" s="15"/>
      <c r="B26" s="57"/>
      <c r="C26" s="15"/>
      <c r="D26" s="58"/>
      <c r="E26" s="58"/>
      <c r="F26" s="64"/>
      <c r="G26" s="65"/>
      <c r="H26" s="65"/>
      <c r="I26" s="65"/>
      <c r="J26" s="65"/>
      <c r="K26" s="65"/>
      <c r="L26" s="65"/>
      <c r="M26" s="65"/>
      <c r="N26" s="65"/>
      <c r="O26" s="65"/>
      <c r="P26" s="65"/>
      <c r="Q26" s="65"/>
      <c r="R26" s="87" t="s">
        <v>35</v>
      </c>
      <c r="S26" s="77"/>
      <c r="T26" s="77"/>
      <c r="U26" s="77"/>
      <c r="V26" s="76"/>
      <c r="W26" s="76"/>
      <c r="X26" s="76"/>
      <c r="Y26" s="76"/>
      <c r="Z26" s="76"/>
      <c r="AA26" s="76"/>
      <c r="AB26" s="76"/>
      <c r="AC26" s="76"/>
      <c r="AD26" s="76"/>
      <c r="AE26" s="78"/>
      <c r="AF26" s="53"/>
      <c r="AG26" s="53"/>
      <c r="AH26" s="53"/>
      <c r="AI26" s="53"/>
      <c r="AJ26" s="53"/>
      <c r="AK26" s="53"/>
      <c r="AL26" s="53"/>
      <c r="AM26" s="53"/>
      <c r="AN26" s="53"/>
      <c r="AO26" s="53"/>
      <c r="AP26" s="53"/>
      <c r="AQ26" s="53"/>
      <c r="AR26" s="53"/>
      <c r="AS26" s="53"/>
      <c r="AT26" s="53"/>
      <c r="AU26" s="53"/>
      <c r="AV26" s="53"/>
      <c r="AW26" s="53"/>
      <c r="AX26" s="53"/>
      <c r="AY26" s="53"/>
      <c r="AZ26" s="53"/>
    </row>
    <row r="27" spans="1:52" ht="19" thickBot="1" x14ac:dyDescent="0.4">
      <c r="A27" s="15"/>
      <c r="B27" s="55" t="s">
        <v>36</v>
      </c>
      <c r="C27" s="58"/>
      <c r="D27" s="58"/>
      <c r="E27" s="58"/>
      <c r="F27" s="64"/>
      <c r="G27" s="65"/>
      <c r="H27" s="65"/>
      <c r="I27" s="65"/>
      <c r="J27" s="65"/>
      <c r="K27" s="65"/>
      <c r="L27" s="65"/>
      <c r="M27" s="65"/>
      <c r="N27" s="65"/>
      <c r="O27" s="65"/>
      <c r="P27" s="65"/>
      <c r="Q27" s="65"/>
      <c r="R27" s="87" t="s">
        <v>37</v>
      </c>
      <c r="S27" s="77"/>
      <c r="T27" s="77"/>
      <c r="U27" s="77"/>
      <c r="V27" s="76"/>
      <c r="W27" s="76"/>
      <c r="X27" s="76"/>
      <c r="Y27" s="76"/>
      <c r="Z27" s="76"/>
      <c r="AA27" s="76"/>
      <c r="AB27" s="76"/>
      <c r="AC27" s="76"/>
      <c r="AD27" s="76"/>
      <c r="AE27" s="78"/>
      <c r="AF27" s="53"/>
      <c r="AG27" s="53"/>
      <c r="AH27" s="53"/>
      <c r="AI27" s="53"/>
      <c r="AJ27" s="53"/>
      <c r="AK27" s="53"/>
      <c r="AL27" s="53"/>
      <c r="AM27" s="53"/>
      <c r="AN27" s="53"/>
      <c r="AO27" s="53"/>
      <c r="AP27" s="53"/>
      <c r="AQ27" s="53"/>
      <c r="AR27" s="53"/>
      <c r="AS27" s="53"/>
      <c r="AT27" s="53"/>
      <c r="AU27" s="53"/>
      <c r="AV27" s="53"/>
      <c r="AW27" s="53"/>
      <c r="AX27" s="53"/>
      <c r="AY27" s="53"/>
      <c r="AZ27" s="53"/>
    </row>
    <row r="28" spans="1:52" ht="31.5" customHeight="1" thickTop="1" thickBot="1" x14ac:dyDescent="0.4">
      <c r="A28" s="15"/>
      <c r="B28" s="56" t="s">
        <v>38</v>
      </c>
      <c r="C28" s="9">
        <v>600</v>
      </c>
      <c r="D28" s="117" t="s">
        <v>319</v>
      </c>
      <c r="E28" s="118" t="s">
        <v>304</v>
      </c>
      <c r="F28" s="64"/>
      <c r="G28" s="65"/>
      <c r="H28" s="65"/>
      <c r="I28" s="65"/>
      <c r="J28" s="65"/>
      <c r="K28" s="65"/>
      <c r="L28" s="65"/>
      <c r="M28" s="65"/>
      <c r="N28" s="65"/>
      <c r="O28" s="65"/>
      <c r="P28" s="65"/>
      <c r="Q28" s="65"/>
      <c r="R28" s="87" t="s">
        <v>35</v>
      </c>
      <c r="S28" s="77"/>
      <c r="T28" s="77"/>
      <c r="U28" s="77"/>
      <c r="V28" s="76"/>
      <c r="W28" s="76"/>
      <c r="X28" s="76"/>
      <c r="Y28" s="76"/>
      <c r="Z28" s="76"/>
      <c r="AA28" s="76"/>
      <c r="AB28" s="76"/>
      <c r="AC28" s="76"/>
      <c r="AD28" s="76"/>
      <c r="AE28" s="78"/>
      <c r="AF28" s="53"/>
      <c r="AG28" s="53"/>
      <c r="AH28" s="53"/>
      <c r="AI28" s="53"/>
      <c r="AJ28" s="53"/>
      <c r="AK28" s="53"/>
      <c r="AL28" s="53"/>
      <c r="AM28" s="53"/>
      <c r="AN28" s="53"/>
      <c r="AO28" s="53"/>
      <c r="AP28" s="53"/>
      <c r="AQ28" s="53"/>
      <c r="AR28" s="53"/>
      <c r="AS28" s="53"/>
      <c r="AT28" s="53"/>
      <c r="AU28" s="53"/>
      <c r="AV28" s="53"/>
      <c r="AW28" s="53"/>
      <c r="AX28" s="53"/>
      <c r="AY28" s="53"/>
      <c r="AZ28" s="53"/>
    </row>
    <row r="29" spans="1:52" ht="35" customHeight="1" thickTop="1" thickBot="1" x14ac:dyDescent="0.4">
      <c r="A29" s="15"/>
      <c r="B29" s="56" t="str">
        <f>IF(C17="One-tier","","Enter Lower Tier RU price [USD/tCO2e] -&gt;")</f>
        <v>Enter Lower Tier RU price [USD/tCO2e] -&gt;</v>
      </c>
      <c r="C29" s="6">
        <v>100</v>
      </c>
      <c r="D29" s="117" t="str">
        <f>IF(C17="One-tier","","Price per tCO2e above the lower tier but below the lower tier intensity requirement")</f>
        <v>Price per tCO2e above the lower tier but below the lower tier intensity requirement</v>
      </c>
      <c r="E29" s="119" t="s">
        <v>309</v>
      </c>
      <c r="F29" s="64"/>
      <c r="G29" s="65"/>
      <c r="H29" s="65"/>
      <c r="I29" s="65"/>
      <c r="J29" s="65"/>
      <c r="K29" s="65"/>
      <c r="L29" s="65"/>
      <c r="M29" s="65"/>
      <c r="N29" s="65"/>
      <c r="O29" s="65"/>
      <c r="P29" s="65"/>
      <c r="Q29" s="65"/>
      <c r="R29" s="87" t="s">
        <v>39</v>
      </c>
      <c r="S29" s="77"/>
      <c r="T29" s="77"/>
      <c r="U29" s="77"/>
      <c r="V29" s="76"/>
      <c r="W29" s="76"/>
      <c r="X29" s="76"/>
      <c r="Y29" s="76"/>
      <c r="Z29" s="76"/>
      <c r="AA29" s="76"/>
      <c r="AB29" s="76"/>
      <c r="AC29" s="76"/>
      <c r="AD29" s="76"/>
      <c r="AE29" s="78"/>
      <c r="AF29" s="53"/>
      <c r="AG29" s="53"/>
      <c r="AH29" s="53"/>
      <c r="AI29" s="53"/>
      <c r="AJ29" s="53"/>
      <c r="AK29" s="53"/>
      <c r="AL29" s="53"/>
      <c r="AM29" s="53"/>
      <c r="AN29" s="53"/>
      <c r="AO29" s="53"/>
      <c r="AP29" s="53"/>
      <c r="AQ29" s="53"/>
      <c r="AR29" s="53"/>
      <c r="AS29" s="53"/>
      <c r="AT29" s="53"/>
      <c r="AU29" s="53"/>
      <c r="AV29" s="53"/>
      <c r="AW29" s="53"/>
      <c r="AX29" s="53"/>
      <c r="AY29" s="53"/>
      <c r="AZ29" s="53"/>
    </row>
    <row r="30" spans="1:52" ht="19" thickTop="1" x14ac:dyDescent="0.35">
      <c r="A30" s="15"/>
      <c r="B30" s="57"/>
      <c r="C30" s="57"/>
      <c r="D30" s="57"/>
      <c r="E30" s="58"/>
      <c r="F30" s="64"/>
      <c r="G30" s="65"/>
      <c r="H30" s="65"/>
      <c r="I30" s="65"/>
      <c r="J30" s="65"/>
      <c r="K30" s="65"/>
      <c r="L30" s="65"/>
      <c r="M30" s="65"/>
      <c r="N30" s="65"/>
      <c r="O30" s="65"/>
      <c r="P30" s="65"/>
      <c r="Q30" s="65"/>
      <c r="R30" s="87" t="s">
        <v>41</v>
      </c>
      <c r="S30" s="77"/>
      <c r="T30" s="77"/>
      <c r="U30" s="77"/>
      <c r="V30" s="76"/>
      <c r="W30" s="76"/>
      <c r="X30" s="76"/>
      <c r="Y30" s="76"/>
      <c r="Z30" s="76"/>
      <c r="AA30" s="76"/>
      <c r="AB30" s="76"/>
      <c r="AC30" s="76"/>
      <c r="AD30" s="76"/>
      <c r="AE30" s="78"/>
      <c r="AF30" s="53"/>
      <c r="AG30" s="53"/>
      <c r="AH30" s="53"/>
      <c r="AI30" s="53"/>
      <c r="AJ30" s="53"/>
      <c r="AK30" s="53"/>
      <c r="AL30" s="53"/>
      <c r="AM30" s="53"/>
      <c r="AN30" s="53"/>
      <c r="AO30" s="53"/>
      <c r="AP30" s="53"/>
      <c r="AQ30" s="53"/>
      <c r="AR30" s="53"/>
      <c r="AS30" s="53"/>
      <c r="AT30" s="53"/>
      <c r="AU30" s="53"/>
      <c r="AV30" s="53"/>
      <c r="AW30" s="53"/>
      <c r="AX30" s="53"/>
      <c r="AY30" s="53"/>
      <c r="AZ30" s="53"/>
    </row>
    <row r="31" spans="1:52" ht="15" customHeight="1" thickBot="1" x14ac:dyDescent="0.4">
      <c r="A31" s="15"/>
      <c r="B31" s="55" t="s">
        <v>40</v>
      </c>
      <c r="C31" s="116" t="str">
        <f>IF(AND(C24="No Levy ($0)",C17="One-tier",$C$32&lt;&gt;"No Reward"),"Warning: Chosen policy scenario has no revenue generation, rewards unlikely. Suggested input is 'No Reward'","")</f>
        <v/>
      </c>
      <c r="D31" s="58"/>
      <c r="E31" s="15"/>
      <c r="F31" s="64"/>
      <c r="G31" s="65"/>
      <c r="H31" s="65"/>
      <c r="I31" s="65"/>
      <c r="J31" s="65"/>
      <c r="K31" s="65"/>
      <c r="L31" s="65"/>
      <c r="M31" s="65"/>
      <c r="N31" s="65"/>
      <c r="O31" s="65"/>
      <c r="P31" s="65"/>
      <c r="Q31" s="65"/>
      <c r="R31" s="87" t="s">
        <v>42</v>
      </c>
      <c r="S31" s="77"/>
      <c r="T31" s="77"/>
      <c r="U31" s="77"/>
      <c r="V31" s="76"/>
      <c r="W31" s="76"/>
      <c r="X31" s="76"/>
      <c r="Y31" s="76"/>
      <c r="Z31" s="76"/>
      <c r="AA31" s="76"/>
      <c r="AB31" s="76"/>
      <c r="AC31" s="76"/>
      <c r="AD31" s="76"/>
      <c r="AE31" s="78"/>
      <c r="AF31" s="53"/>
      <c r="AG31" s="53"/>
      <c r="AH31" s="53"/>
      <c r="AI31" s="53"/>
      <c r="AJ31" s="53"/>
      <c r="AK31" s="53"/>
      <c r="AL31" s="53"/>
      <c r="AM31" s="53"/>
      <c r="AN31" s="53"/>
      <c r="AO31" s="53"/>
      <c r="AP31" s="53"/>
      <c r="AQ31" s="53"/>
      <c r="AR31" s="53"/>
      <c r="AS31" s="53"/>
      <c r="AT31" s="53"/>
      <c r="AU31" s="53"/>
      <c r="AV31" s="53"/>
      <c r="AW31" s="53"/>
      <c r="AX31" s="53"/>
      <c r="AY31" s="53"/>
      <c r="AZ31" s="53"/>
    </row>
    <row r="32" spans="1:52" ht="79" customHeight="1" thickTop="1" thickBot="1" x14ac:dyDescent="0.4">
      <c r="A32" s="15"/>
      <c r="B32" s="56" t="s">
        <v>263</v>
      </c>
      <c r="C32" s="84" t="s">
        <v>307</v>
      </c>
      <c r="D32" s="149" t="s">
        <v>320</v>
      </c>
      <c r="E32" s="147"/>
      <c r="F32" s="64"/>
      <c r="G32" s="65"/>
      <c r="H32" s="65"/>
      <c r="I32" s="65"/>
      <c r="J32" s="65"/>
      <c r="K32" s="65"/>
      <c r="L32" s="65"/>
      <c r="M32" s="65"/>
      <c r="N32" s="65"/>
      <c r="O32" s="65"/>
      <c r="P32" s="65"/>
      <c r="Q32" s="65"/>
      <c r="R32" s="87" t="s">
        <v>35</v>
      </c>
      <c r="S32" s="77"/>
      <c r="T32" s="77"/>
      <c r="U32" s="77"/>
      <c r="V32" s="76"/>
      <c r="W32" s="76"/>
      <c r="X32" s="76"/>
      <c r="Y32" s="76"/>
      <c r="Z32" s="76"/>
      <c r="AA32" s="76"/>
      <c r="AB32" s="76"/>
      <c r="AC32" s="76"/>
      <c r="AD32" s="76"/>
      <c r="AE32" s="78"/>
      <c r="AF32" s="53"/>
      <c r="AG32" s="53"/>
      <c r="AH32" s="53"/>
      <c r="AI32" s="53"/>
      <c r="AJ32" s="53"/>
      <c r="AK32" s="53"/>
      <c r="AL32" s="53"/>
      <c r="AM32" s="53"/>
      <c r="AN32" s="53"/>
      <c r="AO32" s="53"/>
      <c r="AP32" s="53"/>
      <c r="AQ32" s="53"/>
      <c r="AR32" s="53"/>
      <c r="AS32" s="53"/>
      <c r="AT32" s="53"/>
      <c r="AU32" s="53"/>
      <c r="AV32" s="53"/>
      <c r="AW32" s="53"/>
      <c r="AX32" s="53"/>
      <c r="AY32" s="53"/>
      <c r="AZ32" s="53"/>
    </row>
    <row r="33" spans="1:52" ht="17.149999999999999" customHeight="1" thickTop="1" x14ac:dyDescent="0.35">
      <c r="A33" s="15"/>
      <c r="B33" s="56"/>
      <c r="C33" s="56"/>
      <c r="D33" s="56"/>
      <c r="E33" s="50"/>
      <c r="F33" s="64"/>
      <c r="G33" s="65"/>
      <c r="H33" s="65"/>
      <c r="I33" s="65"/>
      <c r="J33" s="65"/>
      <c r="K33" s="65"/>
      <c r="L33" s="65"/>
      <c r="M33" s="65"/>
      <c r="N33" s="65"/>
      <c r="O33" s="65"/>
      <c r="P33" s="65"/>
      <c r="Q33" s="65"/>
      <c r="R33" s="87" t="s">
        <v>44</v>
      </c>
      <c r="S33" s="77"/>
      <c r="T33" s="77"/>
      <c r="U33" s="77"/>
      <c r="V33" s="76"/>
      <c r="W33" s="76"/>
      <c r="X33" s="76"/>
      <c r="Y33" s="76"/>
      <c r="Z33" s="76"/>
      <c r="AA33" s="76"/>
      <c r="AB33" s="76"/>
      <c r="AC33" s="76"/>
      <c r="AD33" s="76"/>
      <c r="AE33" s="78"/>
      <c r="AF33" s="53"/>
      <c r="AG33" s="53"/>
      <c r="AH33" s="53"/>
      <c r="AI33" s="53"/>
      <c r="AJ33" s="53"/>
      <c r="AK33" s="53"/>
      <c r="AL33" s="53"/>
      <c r="AM33" s="53"/>
      <c r="AN33" s="53"/>
      <c r="AO33" s="53"/>
      <c r="AP33" s="53"/>
      <c r="AQ33" s="53"/>
      <c r="AR33" s="53"/>
      <c r="AS33" s="53"/>
      <c r="AT33" s="53"/>
      <c r="AU33" s="53"/>
      <c r="AV33" s="53"/>
      <c r="AW33" s="53"/>
      <c r="AX33" s="53"/>
      <c r="AY33" s="53"/>
      <c r="AZ33" s="53"/>
    </row>
    <row r="34" spans="1:52" ht="17.149999999999999" customHeight="1" thickBot="1" x14ac:dyDescent="0.4">
      <c r="A34" s="15"/>
      <c r="B34" s="55" t="s">
        <v>43</v>
      </c>
      <c r="C34" s="56"/>
      <c r="D34" s="56"/>
      <c r="E34" s="50"/>
      <c r="F34" s="64"/>
      <c r="G34" s="65"/>
      <c r="H34" s="65"/>
      <c r="I34" s="65"/>
      <c r="J34" s="65"/>
      <c r="K34" s="65"/>
      <c r="L34" s="65"/>
      <c r="M34" s="65"/>
      <c r="N34" s="65"/>
      <c r="O34" s="65"/>
      <c r="P34" s="65"/>
      <c r="Q34" s="65"/>
      <c r="R34" s="87" t="s">
        <v>35</v>
      </c>
      <c r="S34" s="77"/>
      <c r="T34" s="77"/>
      <c r="U34" s="77"/>
      <c r="V34" s="76"/>
      <c r="W34" s="76"/>
      <c r="X34" s="76"/>
      <c r="Y34" s="76"/>
      <c r="Z34" s="76"/>
      <c r="AA34" s="76"/>
      <c r="AB34" s="76"/>
      <c r="AC34" s="76"/>
      <c r="AD34" s="76"/>
      <c r="AE34" s="78"/>
      <c r="AF34" s="53"/>
      <c r="AG34" s="53"/>
      <c r="AH34" s="53"/>
      <c r="AI34" s="53"/>
      <c r="AJ34" s="53"/>
      <c r="AK34" s="53"/>
      <c r="AL34" s="53"/>
      <c r="AM34" s="53"/>
      <c r="AN34" s="53"/>
      <c r="AO34" s="53"/>
      <c r="AP34" s="53"/>
      <c r="AQ34" s="53"/>
      <c r="AR34" s="53"/>
      <c r="AS34" s="53"/>
      <c r="AT34" s="53"/>
      <c r="AU34" s="53"/>
      <c r="AV34" s="53"/>
      <c r="AW34" s="53"/>
      <c r="AX34" s="53"/>
      <c r="AY34" s="53"/>
      <c r="AZ34" s="53"/>
    </row>
    <row r="35" spans="1:52" ht="19.5" customHeight="1" thickTop="1" thickBot="1" x14ac:dyDescent="0.4">
      <c r="A35" s="15"/>
      <c r="B35" s="73" t="s">
        <v>45</v>
      </c>
      <c r="C35" s="6" t="s">
        <v>6</v>
      </c>
      <c r="D35" s="148" t="s">
        <v>46</v>
      </c>
      <c r="E35" s="147"/>
      <c r="F35" s="64"/>
      <c r="G35" s="65"/>
      <c r="H35" s="65"/>
      <c r="I35" s="65"/>
      <c r="J35" s="65"/>
      <c r="K35" s="65"/>
      <c r="L35" s="65"/>
      <c r="M35" s="65"/>
      <c r="N35" s="65"/>
      <c r="O35" s="65"/>
      <c r="P35" s="65"/>
      <c r="Q35" s="65"/>
      <c r="R35" s="87" t="s">
        <v>48</v>
      </c>
      <c r="S35" s="77"/>
      <c r="T35" s="77"/>
      <c r="U35" s="77"/>
      <c r="V35" s="76"/>
      <c r="W35" s="76"/>
      <c r="X35" s="76"/>
      <c r="Y35" s="76"/>
      <c r="Z35" s="76"/>
      <c r="AA35" s="76"/>
      <c r="AB35" s="76"/>
      <c r="AC35" s="76"/>
      <c r="AD35" s="76"/>
      <c r="AE35" s="78"/>
      <c r="AF35" s="53"/>
      <c r="AG35" s="53"/>
      <c r="AH35" s="53"/>
      <c r="AI35" s="53"/>
      <c r="AJ35" s="59"/>
      <c r="AK35" s="59"/>
      <c r="AL35" s="59"/>
      <c r="AO35" s="59"/>
      <c r="AP35" s="59"/>
      <c r="AQ35" s="59"/>
      <c r="AR35" s="59"/>
      <c r="AS35" s="59"/>
    </row>
    <row r="36" spans="1:52" ht="19.5" customHeight="1" thickTop="1" thickBot="1" x14ac:dyDescent="0.4">
      <c r="A36" s="15"/>
      <c r="B36" s="73" t="s">
        <v>47</v>
      </c>
      <c r="C36" s="6" t="s">
        <v>6</v>
      </c>
      <c r="D36" s="148"/>
      <c r="E36" s="147"/>
      <c r="F36" s="64"/>
      <c r="G36" s="65"/>
      <c r="H36" s="65"/>
      <c r="I36" s="65"/>
      <c r="J36" s="65"/>
      <c r="K36" s="65"/>
      <c r="L36" s="65"/>
      <c r="M36" s="65"/>
      <c r="N36" s="65"/>
      <c r="O36" s="65"/>
      <c r="P36" s="65"/>
      <c r="Q36" s="65"/>
      <c r="R36" s="87" t="s">
        <v>50</v>
      </c>
      <c r="S36" s="77"/>
      <c r="T36" s="77"/>
      <c r="U36" s="77"/>
      <c r="V36" s="76"/>
      <c r="W36" s="76"/>
      <c r="X36" s="76"/>
      <c r="Y36" s="76"/>
      <c r="Z36" s="76"/>
      <c r="AA36" s="76"/>
      <c r="AB36" s="76"/>
      <c r="AC36" s="76"/>
      <c r="AD36" s="76"/>
      <c r="AE36" s="78"/>
      <c r="AF36" s="53"/>
      <c r="AG36" s="53"/>
      <c r="AH36" s="53"/>
      <c r="AI36" s="53"/>
      <c r="AJ36" s="59"/>
      <c r="AK36" s="59"/>
      <c r="AL36" s="59"/>
      <c r="AO36" s="59"/>
      <c r="AP36" s="59"/>
      <c r="AQ36" s="59"/>
      <c r="AR36" s="59"/>
      <c r="AS36" s="59"/>
    </row>
    <row r="37" spans="1:52" ht="19.5" customHeight="1" thickTop="1" thickBot="1" x14ac:dyDescent="0.4">
      <c r="A37" s="15"/>
      <c r="B37" s="73" t="s">
        <v>49</v>
      </c>
      <c r="C37" s="6" t="s">
        <v>15</v>
      </c>
      <c r="D37" s="148"/>
      <c r="E37" s="147"/>
      <c r="F37" s="64"/>
      <c r="G37" s="65"/>
      <c r="H37" s="65"/>
      <c r="I37" s="65"/>
      <c r="J37" s="65"/>
      <c r="K37" s="65"/>
      <c r="L37" s="65"/>
      <c r="M37" s="65"/>
      <c r="N37" s="65"/>
      <c r="O37" s="65"/>
      <c r="P37" s="65"/>
      <c r="Q37" s="65"/>
      <c r="R37" s="87" t="s">
        <v>51</v>
      </c>
      <c r="S37" s="77"/>
      <c r="T37" s="77"/>
      <c r="U37" s="77"/>
      <c r="V37" s="76"/>
      <c r="W37" s="76"/>
      <c r="X37" s="76"/>
      <c r="Y37" s="76"/>
      <c r="Z37" s="76"/>
      <c r="AA37" s="76"/>
      <c r="AB37" s="76"/>
      <c r="AC37" s="76"/>
      <c r="AD37" s="76"/>
      <c r="AE37" s="78"/>
      <c r="AF37" s="53"/>
      <c r="AG37" s="53"/>
      <c r="AH37" s="53"/>
      <c r="AI37" s="53"/>
      <c r="AJ37" s="59"/>
      <c r="AK37" s="59"/>
      <c r="AL37" s="59"/>
      <c r="AO37" s="59"/>
      <c r="AP37" s="59"/>
      <c r="AQ37" s="59"/>
      <c r="AR37" s="59"/>
      <c r="AS37" s="59"/>
    </row>
    <row r="38" spans="1:52" ht="17.149999999999999" customHeight="1" thickTop="1" x14ac:dyDescent="0.35">
      <c r="A38" s="15"/>
      <c r="B38" s="56"/>
      <c r="C38" s="56"/>
      <c r="D38" s="56"/>
      <c r="E38" s="50"/>
      <c r="F38" s="64"/>
      <c r="G38" s="65"/>
      <c r="H38" s="65"/>
      <c r="I38" s="65"/>
      <c r="J38" s="65"/>
      <c r="K38" s="65"/>
      <c r="L38" s="65"/>
      <c r="M38" s="65"/>
      <c r="N38" s="65"/>
      <c r="O38" s="65"/>
      <c r="P38" s="65"/>
      <c r="Q38" s="65"/>
      <c r="R38" s="87" t="s">
        <v>54</v>
      </c>
      <c r="S38" s="77"/>
      <c r="T38" s="77"/>
      <c r="U38" s="77"/>
      <c r="V38" s="76"/>
      <c r="W38" s="76"/>
      <c r="X38" s="76"/>
      <c r="Y38" s="76"/>
      <c r="Z38" s="76"/>
      <c r="AA38" s="76"/>
      <c r="AB38" s="76"/>
      <c r="AC38" s="76"/>
      <c r="AD38" s="76"/>
      <c r="AE38" s="78"/>
      <c r="AF38" s="53"/>
      <c r="AG38" s="53"/>
      <c r="AH38" s="53"/>
      <c r="AI38" s="53"/>
      <c r="AJ38" s="59"/>
      <c r="AK38" s="59"/>
      <c r="AL38" s="59"/>
      <c r="AO38" s="59"/>
      <c r="AP38" s="59"/>
      <c r="AQ38" s="59"/>
      <c r="AR38" s="59"/>
      <c r="AS38" s="59"/>
    </row>
    <row r="39" spans="1:52" ht="18.5" x14ac:dyDescent="0.35">
      <c r="A39" s="15"/>
      <c r="B39" s="3" t="s">
        <v>52</v>
      </c>
      <c r="C39" s="4"/>
      <c r="D39" s="5" t="s">
        <v>53</v>
      </c>
      <c r="E39" s="4"/>
      <c r="F39" s="4"/>
      <c r="G39" s="65"/>
      <c r="H39" s="65"/>
      <c r="I39" s="65"/>
      <c r="J39" s="65"/>
      <c r="K39" s="65"/>
      <c r="L39" s="65"/>
      <c r="M39" s="65"/>
      <c r="N39" s="65"/>
      <c r="O39" s="65"/>
      <c r="P39" s="65"/>
      <c r="Q39" s="65"/>
      <c r="R39" s="87" t="s">
        <v>56</v>
      </c>
      <c r="S39" s="77"/>
      <c r="T39" s="77"/>
      <c r="U39" s="77"/>
      <c r="V39" s="76"/>
      <c r="W39" s="76"/>
      <c r="X39" s="76"/>
      <c r="Y39" s="76"/>
      <c r="Z39" s="76"/>
      <c r="AA39" s="76"/>
      <c r="AB39" s="76"/>
      <c r="AC39" s="76"/>
      <c r="AD39" s="76"/>
      <c r="AE39" s="78"/>
      <c r="AF39" s="53"/>
      <c r="AG39" s="53"/>
      <c r="AH39" s="53"/>
      <c r="AI39" s="53"/>
    </row>
    <row r="40" spans="1:52" ht="19" thickBot="1" x14ac:dyDescent="0.4">
      <c r="A40" s="15"/>
      <c r="B40" s="55" t="s">
        <v>55</v>
      </c>
      <c r="C40" s="8"/>
      <c r="D40" s="15"/>
      <c r="E40" s="15"/>
      <c r="F40" s="64"/>
      <c r="G40" s="65"/>
      <c r="H40" s="65"/>
      <c r="I40" s="65"/>
      <c r="J40" s="65"/>
      <c r="K40" s="65"/>
      <c r="L40" s="65"/>
      <c r="M40" s="65"/>
      <c r="N40" s="65"/>
      <c r="O40" s="65"/>
      <c r="P40" s="65"/>
      <c r="Q40" s="65"/>
      <c r="R40" s="87" t="s">
        <v>35</v>
      </c>
      <c r="S40" s="65"/>
      <c r="T40" s="65"/>
      <c r="U40" s="65"/>
      <c r="V40" s="65"/>
      <c r="W40" s="76"/>
      <c r="X40" s="76"/>
      <c r="Y40" s="76"/>
      <c r="Z40" s="76"/>
      <c r="AA40" s="76"/>
      <c r="AB40" s="76"/>
      <c r="AC40" s="76"/>
      <c r="AD40" s="77"/>
      <c r="AE40" s="78"/>
      <c r="AF40" s="53"/>
      <c r="AG40" s="53"/>
      <c r="AH40" s="53"/>
      <c r="AI40" s="53"/>
    </row>
    <row r="41" spans="1:52" ht="19.5" thickTop="1" thickBot="1" x14ac:dyDescent="0.4">
      <c r="A41" s="15"/>
      <c r="B41" s="56" t="s">
        <v>57</v>
      </c>
      <c r="C41" s="6" t="s">
        <v>34</v>
      </c>
      <c r="D41" s="74" t="s">
        <v>58</v>
      </c>
      <c r="E41" s="15"/>
      <c r="F41" s="64"/>
      <c r="G41" s="65"/>
      <c r="H41" s="65"/>
      <c r="I41" s="65"/>
      <c r="J41" s="65"/>
      <c r="K41" s="65"/>
      <c r="L41" s="65"/>
      <c r="M41" s="65"/>
      <c r="N41" s="65"/>
      <c r="O41" s="65"/>
      <c r="P41" s="65"/>
      <c r="Q41" s="65"/>
      <c r="R41" s="65"/>
      <c r="S41" s="65"/>
      <c r="T41" s="65"/>
      <c r="U41" s="65"/>
      <c r="V41" s="76"/>
      <c r="W41" s="76"/>
      <c r="X41" s="76"/>
      <c r="Y41" s="76"/>
      <c r="Z41" s="76"/>
      <c r="AA41" s="76"/>
      <c r="AB41" s="76"/>
      <c r="AC41" s="76"/>
      <c r="AD41" s="77"/>
      <c r="AE41" s="78"/>
      <c r="AF41" s="53"/>
      <c r="AG41" s="53"/>
      <c r="AH41" s="53"/>
      <c r="AI41" s="53"/>
      <c r="AK41" s="60"/>
      <c r="AL41" s="60"/>
      <c r="AM41" s="60"/>
      <c r="AN41" s="60"/>
      <c r="AO41" s="61" t="s">
        <v>59</v>
      </c>
      <c r="AP41" s="60"/>
      <c r="AQ41" s="60"/>
      <c r="AR41" s="60"/>
      <c r="AS41" s="60"/>
    </row>
    <row r="42" spans="1:52" ht="19.5" thickTop="1" thickBot="1" x14ac:dyDescent="0.4">
      <c r="A42" s="15"/>
      <c r="B42" s="56" t="str">
        <f>IF(C41="Enter fixed price","Enter fixed LSFO price [USD/tonne LSFO] -&gt;","")</f>
        <v/>
      </c>
      <c r="C42" s="6">
        <v>600</v>
      </c>
      <c r="D42" s="13"/>
      <c r="E42" s="15"/>
      <c r="F42" s="64"/>
      <c r="G42" s="65"/>
      <c r="H42" s="65"/>
      <c r="I42" s="65"/>
      <c r="J42" s="65"/>
      <c r="K42" s="65"/>
      <c r="L42" s="65"/>
      <c r="M42" s="65"/>
      <c r="N42" s="65"/>
      <c r="O42" s="65"/>
      <c r="P42" s="65"/>
      <c r="Q42" s="65"/>
      <c r="R42" s="88"/>
      <c r="S42" s="77"/>
      <c r="T42" s="77"/>
      <c r="U42" s="77"/>
      <c r="V42" s="76"/>
      <c r="W42" s="76"/>
      <c r="X42" s="76"/>
      <c r="Y42" s="76"/>
      <c r="Z42" s="76"/>
      <c r="AA42" s="76"/>
      <c r="AB42" s="76"/>
      <c r="AC42" s="76"/>
      <c r="AD42" s="77"/>
      <c r="AE42" s="78"/>
      <c r="AF42" s="53"/>
      <c r="AG42" s="53"/>
      <c r="AH42" s="53"/>
      <c r="AI42" s="53"/>
      <c r="AK42" s="60"/>
      <c r="AL42" s="60"/>
      <c r="AM42" s="60"/>
      <c r="AN42" s="60"/>
      <c r="AO42" s="62"/>
      <c r="AP42" s="62">
        <v>2027</v>
      </c>
      <c r="AQ42" s="62">
        <v>2032</v>
      </c>
      <c r="AR42" s="62">
        <v>2037</v>
      </c>
      <c r="AS42" s="60"/>
    </row>
    <row r="43" spans="1:52" ht="19" thickTop="1" x14ac:dyDescent="0.35">
      <c r="A43" s="15"/>
      <c r="B43" s="57"/>
      <c r="C43" s="15"/>
      <c r="D43" s="15"/>
      <c r="E43" s="15"/>
      <c r="F43" s="64"/>
      <c r="G43" s="65"/>
      <c r="H43" s="65"/>
      <c r="I43" s="65"/>
      <c r="J43" s="65"/>
      <c r="K43" s="65"/>
      <c r="L43" s="65"/>
      <c r="M43" s="65"/>
      <c r="N43" s="65"/>
      <c r="O43" s="65"/>
      <c r="P43" s="65"/>
      <c r="Q43" s="65"/>
      <c r="R43" s="88"/>
      <c r="S43" s="77"/>
      <c r="T43" s="77"/>
      <c r="U43" s="77"/>
      <c r="V43" s="76"/>
      <c r="W43" s="76"/>
      <c r="X43" s="76"/>
      <c r="Y43" s="76"/>
      <c r="Z43" s="76"/>
      <c r="AA43" s="76"/>
      <c r="AB43" s="76"/>
      <c r="AC43" s="76"/>
      <c r="AD43" s="77"/>
      <c r="AE43" s="78"/>
      <c r="AF43" s="53"/>
      <c r="AG43" s="53"/>
      <c r="AH43" s="53"/>
      <c r="AI43" s="53"/>
      <c r="AK43" s="60"/>
      <c r="AL43" s="60"/>
      <c r="AM43" s="60"/>
      <c r="AN43" s="60"/>
      <c r="AO43" s="60"/>
      <c r="AP43" s="60"/>
      <c r="AQ43" s="60"/>
      <c r="AR43" s="60"/>
      <c r="AS43" s="60"/>
    </row>
    <row r="44" spans="1:52" ht="19" thickBot="1" x14ac:dyDescent="0.4">
      <c r="A44" s="15"/>
      <c r="B44" s="55" t="s">
        <v>60</v>
      </c>
      <c r="C44" s="8"/>
      <c r="D44" s="15"/>
      <c r="E44" s="15"/>
      <c r="F44" s="64"/>
      <c r="G44" s="65"/>
      <c r="H44" s="65"/>
      <c r="I44" s="65"/>
      <c r="J44" s="65"/>
      <c r="K44" s="65"/>
      <c r="L44" s="65"/>
      <c r="M44" s="65"/>
      <c r="N44" s="65"/>
      <c r="O44" s="65"/>
      <c r="P44" s="65"/>
      <c r="Q44" s="65"/>
      <c r="R44" s="88"/>
      <c r="S44" s="77"/>
      <c r="T44" s="77"/>
      <c r="U44" s="77"/>
      <c r="V44" s="76"/>
      <c r="W44" s="76"/>
      <c r="X44" s="76"/>
      <c r="Y44" s="76"/>
      <c r="Z44" s="76"/>
      <c r="AA44" s="76"/>
      <c r="AB44" s="76"/>
      <c r="AC44" s="76"/>
      <c r="AD44" s="77"/>
      <c r="AE44" s="78"/>
      <c r="AF44" s="53"/>
      <c r="AG44" s="53"/>
      <c r="AH44" s="53"/>
      <c r="AI44" s="53"/>
    </row>
    <row r="45" spans="1:52" ht="22.5" customHeight="1" thickTop="1" thickBot="1" x14ac:dyDescent="0.4">
      <c r="A45" s="15"/>
      <c r="B45" s="73" t="s">
        <v>61</v>
      </c>
      <c r="C45" s="11" t="s">
        <v>39</v>
      </c>
      <c r="D45" s="74" t="s">
        <v>62</v>
      </c>
      <c r="E45" s="15"/>
      <c r="F45" s="64"/>
      <c r="G45" s="65"/>
      <c r="H45" s="65"/>
      <c r="I45" s="65"/>
      <c r="J45" s="65"/>
      <c r="K45" s="65"/>
      <c r="L45" s="65"/>
      <c r="M45" s="65"/>
      <c r="N45" s="65"/>
      <c r="O45" s="65"/>
      <c r="P45" s="65"/>
      <c r="Q45" s="65"/>
      <c r="R45" s="88"/>
      <c r="S45" s="77"/>
      <c r="T45" s="77"/>
      <c r="U45" s="77"/>
      <c r="V45" s="76"/>
      <c r="W45" s="76"/>
      <c r="X45" s="76"/>
      <c r="Y45" s="76"/>
      <c r="Z45" s="76"/>
      <c r="AA45" s="76"/>
      <c r="AB45" s="76"/>
      <c r="AC45" s="76"/>
      <c r="AD45" s="77"/>
      <c r="AE45" s="78"/>
      <c r="AF45" s="53"/>
      <c r="AG45" s="53"/>
      <c r="AH45" s="53"/>
      <c r="AI45" s="53"/>
    </row>
    <row r="46" spans="1:52" ht="22.5" customHeight="1" thickTop="1" thickBot="1" x14ac:dyDescent="0.4">
      <c r="A46" s="15"/>
      <c r="B46" s="56" t="str">
        <f>IF(C45="Enter Fixed Price","Enter fixed bio-diesel price [USD/tLSFOeq] -&gt;","")</f>
        <v/>
      </c>
      <c r="C46" s="10">
        <v>1400</v>
      </c>
      <c r="D46" s="15"/>
      <c r="E46" s="15"/>
      <c r="F46" s="64"/>
      <c r="G46" s="65"/>
      <c r="H46" s="65"/>
      <c r="I46" s="65"/>
      <c r="J46" s="65"/>
      <c r="K46" s="65"/>
      <c r="L46" s="65"/>
      <c r="M46" s="65"/>
      <c r="N46" s="65"/>
      <c r="O46" s="65"/>
      <c r="P46" s="65"/>
      <c r="Q46" s="65"/>
      <c r="R46" s="88"/>
      <c r="S46" s="77"/>
      <c r="T46" s="77"/>
      <c r="U46" s="77"/>
      <c r="V46" s="76"/>
      <c r="W46" s="76"/>
      <c r="X46" s="76"/>
      <c r="Y46" s="76"/>
      <c r="Z46" s="76"/>
      <c r="AA46" s="76"/>
      <c r="AB46" s="76"/>
      <c r="AC46" s="76"/>
      <c r="AD46" s="77"/>
      <c r="AE46" s="78"/>
      <c r="AF46" s="53"/>
      <c r="AG46" s="53"/>
      <c r="AH46" s="53"/>
      <c r="AI46" s="53"/>
    </row>
    <row r="47" spans="1:52" ht="19" thickTop="1" x14ac:dyDescent="0.35">
      <c r="A47" s="15"/>
      <c r="B47" s="57"/>
      <c r="C47" s="15"/>
      <c r="D47" s="15"/>
      <c r="E47" s="15"/>
      <c r="F47" s="64"/>
      <c r="G47" s="65"/>
      <c r="H47" s="65"/>
      <c r="I47" s="65"/>
      <c r="J47" s="65"/>
      <c r="K47" s="65"/>
      <c r="L47" s="65"/>
      <c r="M47" s="65"/>
      <c r="N47" s="65"/>
      <c r="O47" s="65"/>
      <c r="P47" s="65"/>
      <c r="Q47" s="65"/>
      <c r="R47" s="88"/>
      <c r="S47" s="77"/>
      <c r="T47" s="77"/>
      <c r="U47" s="77"/>
      <c r="V47" s="76"/>
      <c r="W47" s="76"/>
      <c r="X47" s="76"/>
      <c r="Y47" s="76"/>
      <c r="Z47" s="76"/>
      <c r="AA47" s="76"/>
      <c r="AB47" s="76"/>
      <c r="AC47" s="76"/>
      <c r="AD47" s="77"/>
      <c r="AE47" s="78"/>
      <c r="AF47" s="53"/>
      <c r="AG47" s="53"/>
      <c r="AH47" s="53"/>
      <c r="AI47" s="53"/>
      <c r="AK47" s="60"/>
      <c r="AL47" s="60"/>
      <c r="AM47" s="60"/>
      <c r="AN47" s="60"/>
      <c r="AO47" s="60"/>
      <c r="AP47" s="60"/>
      <c r="AQ47" s="60"/>
      <c r="AR47" s="60"/>
      <c r="AS47" s="60"/>
    </row>
    <row r="48" spans="1:52" ht="19.5" customHeight="1" x14ac:dyDescent="0.35">
      <c r="A48" s="15"/>
      <c r="B48" s="3" t="s">
        <v>63</v>
      </c>
      <c r="C48" s="4"/>
      <c r="D48" s="5" t="s">
        <v>13</v>
      </c>
      <c r="E48" s="4"/>
      <c r="F48" s="4"/>
      <c r="G48" s="65"/>
      <c r="H48" s="65"/>
      <c r="I48" s="65"/>
      <c r="J48" s="65"/>
      <c r="K48" s="65"/>
      <c r="L48" s="65"/>
      <c r="M48" s="65"/>
      <c r="N48" s="65"/>
      <c r="O48" s="65"/>
      <c r="P48" s="65"/>
      <c r="Q48" s="65"/>
      <c r="R48" s="88"/>
      <c r="S48" s="77"/>
      <c r="T48" s="77"/>
      <c r="U48" s="77"/>
      <c r="V48" s="76"/>
      <c r="W48" s="76"/>
      <c r="X48" s="76"/>
      <c r="Y48" s="76"/>
      <c r="Z48" s="76"/>
      <c r="AA48" s="76"/>
      <c r="AB48" s="76"/>
      <c r="AC48" s="76"/>
      <c r="AD48" s="77"/>
      <c r="AE48" s="78"/>
      <c r="AF48" s="53"/>
      <c r="AG48" s="53"/>
      <c r="AH48" s="53"/>
      <c r="AI48" s="53"/>
    </row>
    <row r="49" spans="1:45" ht="19" thickBot="1" x14ac:dyDescent="0.4">
      <c r="A49" s="15"/>
      <c r="B49" s="55" t="s">
        <v>64</v>
      </c>
      <c r="C49" s="8"/>
      <c r="D49" s="15"/>
      <c r="E49" s="15"/>
      <c r="F49" s="64"/>
      <c r="G49" s="65"/>
      <c r="H49" s="65"/>
      <c r="I49" s="65"/>
      <c r="J49" s="65"/>
      <c r="K49" s="65"/>
      <c r="L49" s="65"/>
      <c r="M49" s="65"/>
      <c r="N49" s="65"/>
      <c r="O49" s="65"/>
      <c r="P49" s="65"/>
      <c r="Q49" s="65"/>
      <c r="R49" s="88"/>
      <c r="S49" s="77"/>
      <c r="T49" s="77"/>
      <c r="U49" s="77"/>
      <c r="V49" s="76"/>
      <c r="W49" s="76"/>
      <c r="X49" s="76"/>
      <c r="Y49" s="76"/>
      <c r="Z49" s="76"/>
      <c r="AA49" s="76"/>
      <c r="AB49" s="76"/>
      <c r="AC49" s="76"/>
      <c r="AD49" s="77"/>
      <c r="AE49" s="78"/>
      <c r="AF49" s="53"/>
      <c r="AG49" s="53"/>
      <c r="AH49" s="53"/>
      <c r="AI49" s="53"/>
      <c r="AK49" s="60"/>
      <c r="AL49" s="60"/>
      <c r="AM49" s="60"/>
      <c r="AN49" s="60"/>
      <c r="AO49" s="60"/>
      <c r="AP49" s="60"/>
      <c r="AQ49" s="60"/>
      <c r="AR49" s="60"/>
      <c r="AS49" s="60"/>
    </row>
    <row r="50" spans="1:45" ht="78" customHeight="1" thickTop="1" thickBot="1" x14ac:dyDescent="0.6">
      <c r="A50" s="15"/>
      <c r="B50" s="55" t="s">
        <v>65</v>
      </c>
      <c r="C50" s="6" t="s">
        <v>50</v>
      </c>
      <c r="D50" s="147" t="s">
        <v>321</v>
      </c>
      <c r="E50" s="147"/>
      <c r="F50" s="64"/>
      <c r="G50" s="85" t="s">
        <v>66</v>
      </c>
      <c r="H50" s="79"/>
      <c r="I50" s="79"/>
      <c r="J50" s="79"/>
      <c r="K50" s="79"/>
      <c r="L50" s="79"/>
      <c r="M50" s="79"/>
      <c r="N50" s="79"/>
      <c r="O50" s="79"/>
      <c r="P50" s="79"/>
      <c r="Q50" s="79"/>
      <c r="R50" s="79"/>
      <c r="S50" s="79"/>
      <c r="T50" s="79"/>
      <c r="U50" s="79"/>
      <c r="V50" s="79"/>
      <c r="W50" s="79"/>
      <c r="X50" s="79"/>
      <c r="Y50" s="79"/>
      <c r="Z50" s="79"/>
      <c r="AA50" s="79"/>
      <c r="AB50" s="79"/>
      <c r="AC50" s="79"/>
      <c r="AD50" s="79"/>
      <c r="AE50" s="78"/>
      <c r="AF50" s="53"/>
      <c r="AG50" s="53"/>
      <c r="AH50" s="53"/>
      <c r="AI50" s="53"/>
      <c r="AK50" s="60"/>
      <c r="AL50" s="60"/>
      <c r="AM50" s="60"/>
      <c r="AN50" s="60"/>
      <c r="AO50" s="60"/>
      <c r="AP50" s="60"/>
      <c r="AQ50" s="60"/>
      <c r="AR50" s="60"/>
      <c r="AS50" s="60"/>
    </row>
    <row r="51" spans="1:45" ht="16.5" thickTop="1" thickBot="1" x14ac:dyDescent="0.4">
      <c r="A51" s="15"/>
      <c r="B51" s="55" t="s">
        <v>67</v>
      </c>
      <c r="C51" s="6" t="s">
        <v>37</v>
      </c>
      <c r="D51" s="74" t="s">
        <v>58</v>
      </c>
      <c r="E51" s="15"/>
      <c r="F51" s="64"/>
      <c r="G51" s="79"/>
      <c r="H51" s="80" t="s">
        <v>68</v>
      </c>
      <c r="I51" s="79"/>
      <c r="J51" s="79"/>
      <c r="K51" s="79"/>
      <c r="L51" s="79"/>
      <c r="M51" s="79"/>
      <c r="N51" s="79"/>
      <c r="O51" s="79"/>
      <c r="P51" s="79"/>
      <c r="Q51" s="79"/>
      <c r="R51" s="79"/>
      <c r="S51" s="79"/>
      <c r="T51" s="79"/>
      <c r="U51" s="79"/>
      <c r="V51" s="79"/>
      <c r="W51" s="79"/>
      <c r="X51" s="79"/>
      <c r="Y51" s="79"/>
      <c r="Z51" s="79"/>
      <c r="AA51" s="79"/>
      <c r="AB51" s="79"/>
      <c r="AC51" s="79"/>
      <c r="AD51" s="79"/>
      <c r="AE51" s="78"/>
      <c r="AF51" s="53"/>
      <c r="AG51" s="53"/>
      <c r="AH51" s="53"/>
      <c r="AI51" s="53"/>
    </row>
    <row r="52" spans="1:45" ht="16.5" thickTop="1" thickBot="1" x14ac:dyDescent="0.4">
      <c r="A52" s="15"/>
      <c r="B52" s="56" t="str">
        <f>IF(C51="Enter Fixed Price","Enter fixed LNG price [USD/tLSFOeq] -&gt;","")</f>
        <v/>
      </c>
      <c r="C52" s="6">
        <v>600</v>
      </c>
      <c r="D52" s="13"/>
      <c r="E52" s="15"/>
      <c r="F52" s="64"/>
      <c r="G52" s="80"/>
      <c r="H52" s="80">
        <v>2027</v>
      </c>
      <c r="I52" s="80">
        <v>2028</v>
      </c>
      <c r="J52" s="80">
        <v>2029</v>
      </c>
      <c r="K52" s="80">
        <v>2030</v>
      </c>
      <c r="L52" s="80">
        <v>2031</v>
      </c>
      <c r="M52" s="80">
        <v>2032</v>
      </c>
      <c r="N52" s="80">
        <v>2033</v>
      </c>
      <c r="O52" s="80">
        <v>2034</v>
      </c>
      <c r="P52" s="80">
        <v>2035</v>
      </c>
      <c r="Q52" s="80">
        <v>2036</v>
      </c>
      <c r="R52" s="80">
        <v>2037</v>
      </c>
      <c r="S52" s="80">
        <v>2039</v>
      </c>
      <c r="T52" s="80">
        <v>2040</v>
      </c>
      <c r="U52" s="80">
        <v>2041</v>
      </c>
      <c r="V52" s="80">
        <v>2042</v>
      </c>
      <c r="W52" s="80">
        <v>2043</v>
      </c>
      <c r="X52" s="80">
        <v>2044</v>
      </c>
      <c r="Y52" s="80">
        <v>2045</v>
      </c>
      <c r="Z52" s="80">
        <v>2046</v>
      </c>
      <c r="AA52" s="80">
        <v>2047</v>
      </c>
      <c r="AB52" s="80">
        <v>2048</v>
      </c>
      <c r="AC52" s="80">
        <v>2049</v>
      </c>
      <c r="AD52" s="80">
        <v>2050</v>
      </c>
      <c r="AE52" s="78"/>
      <c r="AF52" s="53"/>
      <c r="AG52" s="53"/>
      <c r="AH52" s="53"/>
      <c r="AI52" s="53"/>
    </row>
    <row r="53" spans="1:45" ht="19" customHeight="1" thickTop="1" x14ac:dyDescent="0.35">
      <c r="A53" s="15"/>
      <c r="B53" s="56"/>
      <c r="C53" s="58"/>
      <c r="D53" s="15"/>
      <c r="E53" s="15"/>
      <c r="F53" s="64"/>
      <c r="G53" s="81" t="s">
        <v>69</v>
      </c>
      <c r="H53" s="120">
        <f>Calculations!H81</f>
        <v>639.36189401402441</v>
      </c>
      <c r="I53" s="121">
        <f>Calculations!I81</f>
        <v>667.38451273762439</v>
      </c>
      <c r="J53" s="121">
        <f>Calculations!J81</f>
        <v>695.08352422308531</v>
      </c>
      <c r="K53" s="121">
        <f>Calculations!K81</f>
        <v>731.58673589253237</v>
      </c>
      <c r="L53" s="121">
        <f>Calculations!L81</f>
        <v>801.84465277440142</v>
      </c>
      <c r="M53" s="121">
        <f>Calculations!M81</f>
        <v>883.41756210782637</v>
      </c>
      <c r="N53" s="121">
        <f>Calculations!N81</f>
        <v>972.56080167377047</v>
      </c>
      <c r="O53" s="121">
        <f>Calculations!O81</f>
        <v>1067.3551266155914</v>
      </c>
      <c r="P53" s="121">
        <f>Calculations!P81</f>
        <v>1166.1738348292365</v>
      </c>
      <c r="Q53" s="121">
        <f>Calculations!Q81</f>
        <v>1280.7856888439471</v>
      </c>
      <c r="R53" s="121">
        <f>Calculations!R81</f>
        <v>1403.3808001947684</v>
      </c>
      <c r="S53" s="121">
        <f>Calculations!T81</f>
        <v>1672.520794904744</v>
      </c>
      <c r="T53" s="121">
        <f>Calculations!U81</f>
        <v>1819.065678263898</v>
      </c>
      <c r="U53" s="121">
        <f>Calculations!V81</f>
        <v>1916.7951813050124</v>
      </c>
      <c r="V53" s="121">
        <f>Calculations!W81</f>
        <v>2018.4868182210687</v>
      </c>
      <c r="W53" s="121">
        <f>Calculations!X81</f>
        <v>2124.1405890120668</v>
      </c>
      <c r="X53" s="121">
        <f>Calculations!Y81</f>
        <v>2233.7564936780059</v>
      </c>
      <c r="Y53" s="121">
        <f>Calculations!Z81</f>
        <v>2347.3345322188875</v>
      </c>
      <c r="Z53" s="121">
        <f>Calculations!AA81</f>
        <v>2461.9025811271194</v>
      </c>
      <c r="AA53" s="121">
        <f>Calculations!AB81</f>
        <v>2580.3049531401343</v>
      </c>
      <c r="AB53" s="121">
        <f>Calculations!AC81</f>
        <v>2675.7305417046127</v>
      </c>
      <c r="AC53" s="121">
        <f>Calculations!AD81</f>
        <v>2740.2171688877766</v>
      </c>
      <c r="AD53" s="121">
        <f>Calculations!AE81</f>
        <v>2804.7037960709408</v>
      </c>
      <c r="AE53" s="78"/>
      <c r="AF53" s="53"/>
      <c r="AG53" s="53"/>
      <c r="AH53" s="53"/>
      <c r="AI53" s="53"/>
    </row>
    <row r="54" spans="1:45" ht="16" thickBot="1" x14ac:dyDescent="0.4">
      <c r="A54" s="15"/>
      <c r="B54" s="55" t="s">
        <v>70</v>
      </c>
      <c r="C54" s="8"/>
      <c r="D54" s="15"/>
      <c r="E54" s="15"/>
      <c r="F54" s="64"/>
      <c r="G54" s="81" t="s">
        <v>63</v>
      </c>
      <c r="H54" s="120">
        <f>Calculations!H106</f>
        <v>488.7743347228764</v>
      </c>
      <c r="I54" s="120">
        <f>Calculations!I106</f>
        <v>489.31702057747475</v>
      </c>
      <c r="J54" s="120">
        <f>Calculations!J106</f>
        <v>508.03794309291811</v>
      </c>
      <c r="K54" s="120">
        <f>Calculations!K106</f>
        <v>484.42216003582899</v>
      </c>
      <c r="L54" s="120">
        <f>Calculations!L106</f>
        <v>505.32314798831356</v>
      </c>
      <c r="M54" s="120">
        <f>Calculations!M106</f>
        <v>573.09933191919197</v>
      </c>
      <c r="N54" s="120">
        <f>Calculations!N106</f>
        <v>678.05658332318012</v>
      </c>
      <c r="O54" s="120">
        <f>Calculations!O106</f>
        <v>786.03943216867833</v>
      </c>
      <c r="P54" s="120">
        <f>Calculations!P106</f>
        <v>892.82725264842611</v>
      </c>
      <c r="Q54" s="120">
        <f>Calculations!Q106</f>
        <v>1019.2024386791321</v>
      </c>
      <c r="R54" s="120">
        <f>Calculations!R106</f>
        <v>1152.0419204007055</v>
      </c>
      <c r="S54" s="120">
        <f>Calculations!T106</f>
        <v>1436.3494439629496</v>
      </c>
      <c r="T54" s="120">
        <f>Calculations!U106</f>
        <v>1587.5809936430417</v>
      </c>
      <c r="U54" s="120">
        <f>Calculations!V106</f>
        <v>1687.0986853947984</v>
      </c>
      <c r="V54" s="120">
        <f>Calculations!W106</f>
        <v>1790.1800412796554</v>
      </c>
      <c r="W54" s="120">
        <f>Calculations!X106</f>
        <v>1896.8266937036353</v>
      </c>
      <c r="X54" s="120">
        <f>Calculations!Y106</f>
        <v>2006.9532360002713</v>
      </c>
      <c r="Y54" s="120">
        <f>Calculations!Z106</f>
        <v>2120.5812577303996</v>
      </c>
      <c r="Z54" s="120">
        <f>Calculations!AA106</f>
        <v>2245.4947213707346</v>
      </c>
      <c r="AA54" s="120">
        <f>Calculations!AB106</f>
        <v>2374.4139272915127</v>
      </c>
      <c r="AB54" s="120">
        <f>Calculations!AC106</f>
        <v>2507.2411755289404</v>
      </c>
      <c r="AC54" s="120">
        <f>Calculations!AD106</f>
        <v>2644.0328135177756</v>
      </c>
      <c r="AD54" s="120">
        <f>Calculations!AE106</f>
        <v>2784.3868084910459</v>
      </c>
      <c r="AE54" s="78"/>
      <c r="AF54" s="53"/>
      <c r="AG54" s="53"/>
      <c r="AH54" s="53"/>
      <c r="AI54" s="53"/>
    </row>
    <row r="55" spans="1:45" ht="30" customHeight="1" thickTop="1" thickBot="1" x14ac:dyDescent="0.4">
      <c r="A55" s="15"/>
      <c r="B55" s="56" t="s">
        <v>57</v>
      </c>
      <c r="C55" s="11" t="s">
        <v>44</v>
      </c>
      <c r="D55" s="147" t="s">
        <v>71</v>
      </c>
      <c r="E55" s="147"/>
      <c r="F55" s="64"/>
      <c r="G55" s="81" t="s">
        <v>72</v>
      </c>
      <c r="H55" s="120">
        <f>Calculations!H132</f>
        <v>603.61802051606992</v>
      </c>
      <c r="I55" s="120">
        <f>Calculations!I132</f>
        <v>585.68519843347156</v>
      </c>
      <c r="J55" s="120">
        <f>Calculations!J132</f>
        <v>582.68270274873487</v>
      </c>
      <c r="K55" s="120">
        <f>Calculations!K132</f>
        <v>588.08015216363572</v>
      </c>
      <c r="L55" s="120">
        <f>Calculations!L132</f>
        <v>619.47122045293679</v>
      </c>
      <c r="M55" s="120">
        <f>Calculations!M132</f>
        <v>669.73920339563062</v>
      </c>
      <c r="N55" s="120">
        <f>Calculations!N132</f>
        <v>741.11887976138405</v>
      </c>
      <c r="O55" s="120">
        <f>Calculations!O132</f>
        <v>831.69100469355544</v>
      </c>
      <c r="P55" s="120">
        <f>Calculations!P132</f>
        <v>942.73073453349082</v>
      </c>
      <c r="Q55" s="120">
        <f>Calculations!Q132</f>
        <v>1018.7000102444675</v>
      </c>
      <c r="R55" s="120">
        <f>Calculations!R132</f>
        <v>1101.3482580565574</v>
      </c>
      <c r="S55" s="120">
        <f>Calculations!T132</f>
        <v>1286.6816699840772</v>
      </c>
      <c r="T55" s="120">
        <f>Calculations!U132</f>
        <v>1389.3668340995075</v>
      </c>
      <c r="U55" s="120">
        <f>Calculations!V132</f>
        <v>1427.6647654619567</v>
      </c>
      <c r="V55" s="120">
        <f>Calculations!W132</f>
        <v>1466.4386695488531</v>
      </c>
      <c r="W55" s="120">
        <f>Calculations!X132</f>
        <v>1505.6885463601964</v>
      </c>
      <c r="X55" s="120">
        <f>Calculations!Y132</f>
        <v>1545.4143958959871</v>
      </c>
      <c r="Y55" s="120">
        <f>Calculations!Z132</f>
        <v>1585.6162181562252</v>
      </c>
      <c r="Z55" s="120">
        <f>Calculations!AA132</f>
        <v>1624.2958509474815</v>
      </c>
      <c r="AA55" s="120">
        <f>Calculations!AB132</f>
        <v>1663.4361025043324</v>
      </c>
      <c r="AB55" s="120">
        <f>Calculations!AC132</f>
        <v>1703.0369728267772</v>
      </c>
      <c r="AC55" s="120">
        <f>Calculations!AD132</f>
        <v>1743.0984619148157</v>
      </c>
      <c r="AD55" s="120">
        <f>Calculations!AE132</f>
        <v>1783.6205697684486</v>
      </c>
      <c r="AE55" s="78"/>
      <c r="AF55" s="53"/>
      <c r="AG55" s="53"/>
      <c r="AH55" s="53"/>
      <c r="AI55" s="53"/>
    </row>
    <row r="56" spans="1:45" ht="16.5" thickTop="1" thickBot="1" x14ac:dyDescent="0.4">
      <c r="A56" s="15"/>
      <c r="B56" s="56" t="str">
        <f>IF(C55="Enter Fixed Price","Enter fixed bio-methane price [USD/tLSFOeq] -&gt;","")</f>
        <v/>
      </c>
      <c r="C56" s="10">
        <v>1500</v>
      </c>
      <c r="D56" s="13"/>
      <c r="E56" s="15"/>
      <c r="F56" s="64"/>
      <c r="G56" s="81" t="s">
        <v>73</v>
      </c>
      <c r="H56" s="120">
        <f>Calculations!H151</f>
        <v>-410.48417577994417</v>
      </c>
      <c r="I56" s="122">
        <f>Calculations!I151</f>
        <v>-425.97198471005106</v>
      </c>
      <c r="J56" s="122">
        <f>Calculations!J151</f>
        <v>-421.81210924681295</v>
      </c>
      <c r="K56" s="122">
        <f>Calculations!K151</f>
        <v>-251.09608659826279</v>
      </c>
      <c r="L56" s="122">
        <f>Calculations!L151</f>
        <v>-57.353782027228135</v>
      </c>
      <c r="M56" s="122">
        <f>Calculations!M151</f>
        <v>143.9588527763259</v>
      </c>
      <c r="N56" s="122">
        <f>Calculations!N151</f>
        <v>352.84181781239829</v>
      </c>
      <c r="O56" s="122">
        <f>Calculations!O151</f>
        <v>562.25478232667115</v>
      </c>
      <c r="P56" s="122">
        <f>Calculations!P151</f>
        <v>785.93430190812182</v>
      </c>
      <c r="Q56" s="122">
        <f>Calculations!Q151</f>
        <v>894.72601723493096</v>
      </c>
      <c r="R56" s="122">
        <f>Calculations!R151</f>
        <v>1010.9504204263949</v>
      </c>
      <c r="S56" s="122">
        <f>Calculations!T151</f>
        <v>1265.6972904032878</v>
      </c>
      <c r="T56" s="122">
        <f>Calculations!U151</f>
        <v>1404.2197571887159</v>
      </c>
      <c r="U56" s="122">
        <f>Calculations!V151</f>
        <v>1443.3627908187034</v>
      </c>
      <c r="V56" s="122">
        <f>Calculations!W151</f>
        <v>1485.1898506220386</v>
      </c>
      <c r="W56" s="122">
        <f>Calculations!X151</f>
        <v>1529.7009365987212</v>
      </c>
      <c r="X56" s="122">
        <f>Calculations!Y151</f>
        <v>1576.8960487487516</v>
      </c>
      <c r="Y56" s="122">
        <f>Calculations!Z151</f>
        <v>1626.7751870721293</v>
      </c>
      <c r="Z56" s="122">
        <f>Calculations!AA151</f>
        <v>1673.514420978343</v>
      </c>
      <c r="AA56" s="122">
        <f>Calculations!AB151</f>
        <v>1721.8793913657162</v>
      </c>
      <c r="AB56" s="122">
        <f>Calculations!AC151</f>
        <v>1770.2443617530896</v>
      </c>
      <c r="AC56" s="122">
        <f>Calculations!AD151</f>
        <v>1818.6093321404626</v>
      </c>
      <c r="AD56" s="122">
        <f>Calculations!AE151</f>
        <v>1866.9743025278353</v>
      </c>
      <c r="AE56" s="78"/>
      <c r="AF56" s="53"/>
      <c r="AG56" s="53"/>
      <c r="AH56" s="53"/>
      <c r="AI56" s="53"/>
    </row>
    <row r="57" spans="1:45" ht="15.65" customHeight="1" thickTop="1" x14ac:dyDescent="0.35">
      <c r="A57" s="15"/>
      <c r="B57" s="57"/>
      <c r="C57" s="15"/>
      <c r="D57" s="15"/>
      <c r="E57" s="15"/>
      <c r="F57" s="64"/>
      <c r="G57" s="79"/>
      <c r="H57" s="79"/>
      <c r="I57" s="79"/>
      <c r="J57" s="79"/>
      <c r="K57" s="79"/>
      <c r="L57" s="79"/>
      <c r="M57" s="79"/>
      <c r="N57" s="79"/>
      <c r="O57" s="79"/>
      <c r="P57" s="79"/>
      <c r="Q57" s="79"/>
      <c r="R57" s="79"/>
      <c r="S57" s="79"/>
      <c r="T57" s="79"/>
      <c r="U57" s="79"/>
      <c r="V57" s="79"/>
      <c r="W57" s="79"/>
      <c r="X57" s="79"/>
      <c r="Y57" s="79"/>
      <c r="Z57" s="79"/>
      <c r="AA57" s="79"/>
      <c r="AB57" s="79"/>
      <c r="AC57" s="79"/>
      <c r="AD57" s="79"/>
      <c r="AE57" s="78"/>
      <c r="AF57" s="53"/>
      <c r="AG57" s="53"/>
      <c r="AH57" s="53"/>
      <c r="AI57" s="53"/>
    </row>
    <row r="58" spans="1:45" ht="18.5" x14ac:dyDescent="0.35">
      <c r="A58" s="15"/>
      <c r="B58" s="3" t="s">
        <v>74</v>
      </c>
      <c r="C58" s="4"/>
      <c r="D58" s="5" t="s">
        <v>75</v>
      </c>
      <c r="E58" s="4"/>
      <c r="F58" s="4"/>
      <c r="G58" s="82" t="str">
        <f>$C$13&amp;" - "&amp;G53</f>
        <v>2033 - Strategy 1: LSFO + bio-diesel (base case)</v>
      </c>
      <c r="H58" s="79"/>
      <c r="I58" s="79"/>
      <c r="J58" s="82" t="str">
        <f>$C$13&amp;" - "&amp;G54</f>
        <v>2033 - Strategy 2: LNG + bio-methane</v>
      </c>
      <c r="K58" s="79"/>
      <c r="L58" s="79"/>
      <c r="M58" s="82" t="str">
        <f>$C$13&amp;" - "&amp;G55</f>
        <v>2033 - Strategy 3: LSFO + ZNZ</v>
      </c>
      <c r="N58" s="79"/>
      <c r="O58" s="79"/>
      <c r="P58" s="82" t="str">
        <f>$C$13&amp;" - "&amp;G56</f>
        <v>2033 - Strategy 4: 100% ZNZ</v>
      </c>
      <c r="Q58" s="79"/>
      <c r="R58" s="83"/>
      <c r="S58" s="79"/>
      <c r="T58" s="79"/>
      <c r="U58" s="79"/>
      <c r="V58" s="79"/>
      <c r="W58" s="79"/>
      <c r="X58" s="79"/>
      <c r="Y58" s="79"/>
      <c r="Z58" s="79"/>
      <c r="AA58" s="79"/>
      <c r="AB58" s="79"/>
      <c r="AC58" s="79"/>
      <c r="AD58" s="79"/>
      <c r="AE58" s="78"/>
      <c r="AF58" s="53"/>
      <c r="AG58" s="53"/>
      <c r="AH58" s="53"/>
      <c r="AI58" s="53"/>
    </row>
    <row r="59" spans="1:45" ht="19" thickBot="1" x14ac:dyDescent="0.4">
      <c r="A59" s="15"/>
      <c r="B59" s="55" t="s">
        <v>76</v>
      </c>
      <c r="C59" s="63"/>
      <c r="D59" s="15"/>
      <c r="E59" s="15"/>
      <c r="F59" s="64"/>
      <c r="G59" s="123" t="s">
        <v>77</v>
      </c>
      <c r="H59" s="120">
        <f>INDEX(Calculations!$C$63:$AE$81,MATCH(G59,Calculations!$C$63:$C$81,0),MATCH($C$13,Calculations!$C$63:$AE$63,0))</f>
        <v>547.6718446601941</v>
      </c>
      <c r="I59" s="123"/>
      <c r="J59" s="123" t="s">
        <v>78</v>
      </c>
      <c r="K59" s="120">
        <f>INDEX(Calculations!$C$85:$AE$106,MATCH(J59,Calculations!$C$85:$C$106,0),MATCH($C$13,Calculations!$C$85:$AE$85,0))</f>
        <v>463.75034041896919</v>
      </c>
      <c r="L59" s="123"/>
      <c r="M59" s="123" t="s">
        <v>77</v>
      </c>
      <c r="N59" s="120">
        <f>INDEX(Calculations!$C$110:$AE$132,MATCH(M59,Calculations!$C$110:$C$132,0),MATCH($C$13,Calculations!$C$110:$AE$110,0))</f>
        <v>547.6718446601941</v>
      </c>
      <c r="O59" s="123"/>
      <c r="P59" s="123" t="s">
        <v>79</v>
      </c>
      <c r="Q59" s="120">
        <f>INDEX(Calculations!$C$136:$AE$151,MATCH(P59,Calculations!$C$136:$C$151,0),MATCH($C$13,Calculations!$C$136:$AE$136,0))</f>
        <v>1699.9999999999998</v>
      </c>
      <c r="R59" s="83"/>
      <c r="S59" s="79"/>
      <c r="T59" s="79"/>
      <c r="U59" s="79"/>
      <c r="V59" s="79"/>
      <c r="W59" s="79"/>
      <c r="X59" s="79"/>
      <c r="Y59" s="79"/>
      <c r="Z59" s="79"/>
      <c r="AA59" s="79"/>
      <c r="AB59" s="79"/>
      <c r="AC59" s="79"/>
      <c r="AD59" s="79"/>
      <c r="AE59" s="78"/>
      <c r="AF59" s="53"/>
      <c r="AG59" s="53"/>
      <c r="AH59" s="53"/>
      <c r="AI59" s="53"/>
    </row>
    <row r="60" spans="1:45" ht="23" customHeight="1" thickTop="1" thickBot="1" x14ac:dyDescent="0.4">
      <c r="A60" s="15"/>
      <c r="B60" s="56" t="s">
        <v>80</v>
      </c>
      <c r="C60" s="12">
        <v>0.9</v>
      </c>
      <c r="D60" s="147" t="s">
        <v>322</v>
      </c>
      <c r="E60" s="147"/>
      <c r="F60" s="64"/>
      <c r="G60" s="123" t="s">
        <v>299</v>
      </c>
      <c r="H60" s="120">
        <f>INDEX(Calculations!$C$63:$AE$81,MATCH(G60,Calculations!$C$63:$C$81,0),MATCH($C$13,Calculations!$C$63:$AE$63,0))</f>
        <v>374.98859074088983</v>
      </c>
      <c r="I60" s="123"/>
      <c r="J60" s="123" t="s">
        <v>298</v>
      </c>
      <c r="K60" s="120">
        <f>INDEX(Calculations!$C$85:$AE$106,MATCH(J60,Calculations!$C$85:$C$106,0),MATCH($C$13,Calculations!$C$85:$AE$85,0))</f>
        <v>164.40587663152442</v>
      </c>
      <c r="L60" s="123"/>
      <c r="M60" s="123" t="s">
        <v>297</v>
      </c>
      <c r="N60" s="120">
        <f>INDEX(Calculations!$C$110:$AE$132,MATCH(M60,Calculations!$C$110:$C$132,0),MATCH($C$13,Calculations!$C$110:$AE$110,0))</f>
        <v>358.50209277238434</v>
      </c>
      <c r="O60" s="123"/>
      <c r="P60" s="123" t="s">
        <v>300</v>
      </c>
      <c r="Q60" s="120">
        <f>Q59-Q63-Q64</f>
        <v>352.84181781239829</v>
      </c>
      <c r="R60" s="83"/>
      <c r="S60" s="79"/>
      <c r="T60" s="79"/>
      <c r="U60" s="79"/>
      <c r="V60" s="79"/>
      <c r="W60" s="79"/>
      <c r="X60" s="79"/>
      <c r="Y60" s="79"/>
      <c r="Z60" s="79"/>
      <c r="AA60" s="79"/>
      <c r="AB60" s="79"/>
      <c r="AC60" s="79"/>
      <c r="AD60" s="79"/>
      <c r="AE60" s="78"/>
      <c r="AF60" s="53"/>
      <c r="AG60" s="53"/>
      <c r="AH60" s="53"/>
      <c r="AI60" s="53"/>
    </row>
    <row r="61" spans="1:45" ht="19" customHeight="1" thickTop="1" thickBot="1" x14ac:dyDescent="0.4">
      <c r="A61" s="15"/>
      <c r="B61" s="56" t="s">
        <v>81</v>
      </c>
      <c r="C61" s="7">
        <f>(1-C60)*$C$16</f>
        <v>9.4311786567164155</v>
      </c>
      <c r="D61" s="147" t="s">
        <v>82</v>
      </c>
      <c r="E61" s="147"/>
      <c r="F61" s="64"/>
      <c r="G61" s="123" t="s">
        <v>280</v>
      </c>
      <c r="H61" s="120">
        <f>INDEX(Calculations!$C$63:$AE$81,MATCH(G61,Calculations!$C$63:$C$81,0),MATCH($C$13,Calculations!$C$63:$AE$63,0))</f>
        <v>49.900366272686526</v>
      </c>
      <c r="I61" s="123"/>
      <c r="J61" s="123" t="s">
        <v>280</v>
      </c>
      <c r="K61" s="120">
        <f>INDEX(Calculations!$C$85:$AE$106,MATCH(J61,Calculations!$C$85:$C$106,0),MATCH($C$13,Calculations!$C$85:$AE$85,0))</f>
        <v>49.900366272686533</v>
      </c>
      <c r="L61" s="123"/>
      <c r="M61" s="123" t="s">
        <v>296</v>
      </c>
      <c r="N61" s="120">
        <f>INDEX(Calculations!$C$110:$AE$132,MATCH(M61,Calculations!$C$110:$C$132,0),MATCH($C$13,Calculations!$C$110:$AE$110,0))</f>
        <v>49.900366272686526</v>
      </c>
      <c r="O61" s="123"/>
      <c r="P61" s="123" t="s">
        <v>302</v>
      </c>
      <c r="Q61" s="120">
        <f>INDEX(Calculations!$C$136:$AE$151,MATCH(P61,Calculations!$C$136:$C$151,0),MATCH($C$13,Calculations!$C$136:$AE$136,0))</f>
        <v>0</v>
      </c>
      <c r="R61" s="83"/>
      <c r="S61" s="79"/>
      <c r="T61" s="79"/>
      <c r="U61" s="79"/>
      <c r="V61" s="79"/>
      <c r="W61" s="79"/>
      <c r="X61" s="79"/>
      <c r="Y61" s="79"/>
      <c r="Z61" s="79"/>
      <c r="AA61" s="79"/>
      <c r="AB61" s="79"/>
      <c r="AC61" s="79"/>
      <c r="AD61" s="79"/>
      <c r="AE61" s="78"/>
      <c r="AF61" s="53"/>
      <c r="AG61" s="53"/>
      <c r="AH61" s="53"/>
      <c r="AI61" s="53"/>
    </row>
    <row r="62" spans="1:45" ht="34.5" customHeight="1" thickTop="1" thickBot="1" x14ac:dyDescent="0.4">
      <c r="A62" s="15"/>
      <c r="B62" s="56" t="s">
        <v>85</v>
      </c>
      <c r="C62" s="11" t="s">
        <v>35</v>
      </c>
      <c r="D62" s="148" t="s">
        <v>323</v>
      </c>
      <c r="E62" s="147"/>
      <c r="F62" s="64"/>
      <c r="G62" s="124" t="s">
        <v>83</v>
      </c>
      <c r="H62" s="120">
        <f>INDEX(Calculations!$C$63:$AE$81,MATCH(G62,Calculations!$C$63:$C$81,0),MATCH($C$13,Calculations!$C$63:$AE$63,0))</f>
        <v>0</v>
      </c>
      <c r="I62" s="123"/>
      <c r="J62" s="124" t="s">
        <v>84</v>
      </c>
      <c r="K62" s="120">
        <f>INDEX(Calculations!$C$85:$AE$106,MATCH(J62,Calculations!$C$85:$C$106,0),MATCH($C$13,Calculations!$C$85:$AE$85,0))</f>
        <v>0</v>
      </c>
      <c r="L62" s="123"/>
      <c r="M62" s="124" t="s">
        <v>83</v>
      </c>
      <c r="N62" s="120">
        <f>INDEX(Calculations!$C$110:$AE$132,MATCH(M62,Calculations!$C$110:$C$132,0),MATCH($C$13,Calculations!$C$110:$AE$110,0))</f>
        <v>0</v>
      </c>
      <c r="O62" s="123"/>
      <c r="P62" s="123" t="s">
        <v>301</v>
      </c>
      <c r="Q62" s="120">
        <f>INDEX(Calculations!$C$136:$AE$151,MATCH(P62,Calculations!$C$136:$C$151,0),MATCH($C$13,Calculations!$C$136:$AE$136,0))</f>
        <v>0</v>
      </c>
      <c r="R62" s="83"/>
      <c r="S62" s="79"/>
      <c r="T62" s="79"/>
      <c r="U62" s="79"/>
      <c r="V62" s="79"/>
      <c r="W62" s="79"/>
      <c r="X62" s="79"/>
      <c r="Y62" s="79"/>
      <c r="Z62" s="79"/>
      <c r="AA62" s="79"/>
      <c r="AB62" s="79"/>
      <c r="AC62" s="79"/>
      <c r="AD62" s="79"/>
      <c r="AE62" s="78"/>
      <c r="AF62" s="53"/>
      <c r="AG62" s="53"/>
      <c r="AH62" s="53"/>
      <c r="AI62" s="53"/>
    </row>
    <row r="63" spans="1:45" ht="24" customHeight="1" thickTop="1" thickBot="1" x14ac:dyDescent="0.4">
      <c r="A63" s="15"/>
      <c r="B63" s="56" t="str">
        <f>IF(C62="Enter Fixed Price","Enter fixed ZNZ price [USD/tLSFOeq] -&gt;","")</f>
        <v>Enter fixed ZNZ price [USD/tLSFOeq] -&gt;</v>
      </c>
      <c r="C63" s="10">
        <v>1700</v>
      </c>
      <c r="D63" s="147" t="str">
        <f>IF($C$62="Enter fixed price","The fixed price is fixed for the full length of analysis (2027 - 2050), simulating a fixed 24-year offtake agreement.", "")</f>
        <v>The fixed price is fixed for the full length of analysis (2027 - 2050), simulating a fixed 24-year offtake agreement.</v>
      </c>
      <c r="E63" s="147"/>
      <c r="F63" s="64"/>
      <c r="G63" s="124" t="s">
        <v>86</v>
      </c>
      <c r="H63" s="120">
        <f>INDEX(Calculations!$C$63:$AE$81,MATCH(G63,Calculations!$C$63:$C$81,0),MATCH($C$13,Calculations!$C$63:$AE$63,0))</f>
        <v>972.56080167377047</v>
      </c>
      <c r="I63" s="123"/>
      <c r="J63" s="124" t="s">
        <v>83</v>
      </c>
      <c r="K63" s="120">
        <f>INDEX(Calculations!$C$85:$AE$106,MATCH(J63,Calculations!$C$85:$C$106,0),MATCH($C$13,Calculations!$C$85:$AE$85,0))</f>
        <v>0</v>
      </c>
      <c r="L63" s="123"/>
      <c r="M63" s="124" t="s">
        <v>87</v>
      </c>
      <c r="N63" s="120">
        <f>INDEX(Calculations!$C$110:$AE$132,MATCH(M63,Calculations!$C$110:$C$132,0),MATCH($C$13,Calculations!$C$110:$AE$110,0))</f>
        <v>-214.95542394388085</v>
      </c>
      <c r="O63" s="123"/>
      <c r="P63" s="123" t="s">
        <v>84</v>
      </c>
      <c r="Q63" s="120">
        <f>ABS(INDEX(Calculations!$C$136:$AE$151,MATCH(P63,Calculations!$C$136:$C$151,0),MATCH($C$13,Calculations!$C$136:$AE$136,0)))</f>
        <v>656.23003379655643</v>
      </c>
      <c r="R63" s="83"/>
      <c r="S63" s="79"/>
      <c r="T63" s="79"/>
      <c r="U63" s="79"/>
      <c r="V63" s="79"/>
      <c r="W63" s="79"/>
      <c r="X63" s="79"/>
      <c r="Y63" s="79"/>
      <c r="Z63" s="79"/>
      <c r="AA63" s="79"/>
      <c r="AB63" s="79"/>
      <c r="AC63" s="79"/>
      <c r="AD63" s="79"/>
      <c r="AE63" s="78"/>
      <c r="AF63" s="53"/>
      <c r="AG63" s="53"/>
      <c r="AH63" s="53"/>
      <c r="AI63" s="53"/>
    </row>
    <row r="64" spans="1:45" s="21" customFormat="1" ht="18.649999999999999" customHeight="1" thickTop="1" x14ac:dyDescent="0.35">
      <c r="A64" s="14"/>
      <c r="B64" s="15"/>
      <c r="C64" s="15"/>
      <c r="D64" s="15"/>
      <c r="E64" s="15"/>
      <c r="F64" s="64"/>
      <c r="G64" s="125" t="str">
        <f>G63&amp;" = "&amp;ROUND(H63,0)&amp;" USD/tLSFOeq"</f>
        <v>Total S1 = 973 USD/tLSFOeq</v>
      </c>
      <c r="H64" s="123"/>
      <c r="I64" s="123"/>
      <c r="J64" s="123" t="s">
        <v>88</v>
      </c>
      <c r="K64" s="120">
        <f>INDEX(Calculations!$C$85:$AE$106,MATCH(J64,Calculations!$C$85:$C$106,0),MATCH($C$13,Calculations!$C$85:$AE$85,0))</f>
        <v>678.05658332318012</v>
      </c>
      <c r="L64" s="123"/>
      <c r="M64" s="123" t="s">
        <v>89</v>
      </c>
      <c r="N64" s="120">
        <f>INDEX(Calculations!$C$110:$AE$132,MATCH(M64,Calculations!$C$110:$C$132,0),MATCH($C$13,Calculations!$C$110:$AE$110,0))</f>
        <v>741.11887976138405</v>
      </c>
      <c r="O64" s="123"/>
      <c r="P64" s="123" t="s">
        <v>87</v>
      </c>
      <c r="Q64" s="120">
        <f>ABS(INDEX(Calculations!$C$136:$AE$151,MATCH(P64,Calculations!$C$136:$C$151,0),MATCH($C$13,Calculations!$C$136:$AE$136,0)))</f>
        <v>690.92814839104506</v>
      </c>
      <c r="R64" s="83"/>
      <c r="S64" s="79"/>
      <c r="T64" s="79"/>
      <c r="U64" s="79"/>
      <c r="V64" s="79"/>
      <c r="W64" s="79"/>
      <c r="X64" s="79"/>
      <c r="Y64" s="79"/>
      <c r="Z64" s="79"/>
      <c r="AA64" s="79"/>
      <c r="AB64" s="79"/>
      <c r="AC64" s="79"/>
      <c r="AD64" s="79"/>
      <c r="AE64" s="78"/>
      <c r="AF64" s="53"/>
      <c r="AG64" s="53"/>
      <c r="AH64" s="53"/>
      <c r="AI64" s="53"/>
      <c r="AJ64" s="20"/>
    </row>
    <row r="65" spans="1:35" s="21" customFormat="1" ht="33.65" customHeight="1" x14ac:dyDescent="0.35">
      <c r="A65" s="15"/>
      <c r="B65" s="15"/>
      <c r="C65" s="15"/>
      <c r="D65" s="15"/>
      <c r="E65" s="15"/>
      <c r="F65" s="15"/>
      <c r="G65" s="123"/>
      <c r="H65" s="123"/>
      <c r="I65" s="123"/>
      <c r="J65" s="125" t="str">
        <f>J64&amp;" = "&amp;ROUND(K64,0)&amp;" USD/tLSFOeq"</f>
        <v>Total S2 = 678 USD/tLSFOeq</v>
      </c>
      <c r="K65" s="126"/>
      <c r="L65" s="123"/>
      <c r="M65" s="125" t="str">
        <f>M64&amp;" = "&amp;ROUND(N64,0)&amp;" USD/tLSFOeq"</f>
        <v>Total S3 = 741 USD/tLSFOeq</v>
      </c>
      <c r="N65" s="123"/>
      <c r="O65" s="123"/>
      <c r="P65" s="123" t="s">
        <v>83</v>
      </c>
      <c r="Q65" s="120">
        <f>INDEX(Calculations!$C$136:$AE$151,MATCH(P65,Calculations!$C$136:$C$151,0),MATCH($C$13,Calculations!$C$136:$AE$136,0))</f>
        <v>0</v>
      </c>
      <c r="R65" s="83"/>
      <c r="S65" s="83"/>
      <c r="T65" s="83"/>
      <c r="U65" s="83"/>
      <c r="V65" s="83"/>
      <c r="W65" s="83"/>
      <c r="X65" s="83"/>
      <c r="Y65" s="83"/>
      <c r="Z65" s="83"/>
      <c r="AA65" s="83"/>
      <c r="AB65" s="83"/>
      <c r="AC65" s="83"/>
      <c r="AD65" s="83"/>
      <c r="AE65" s="83"/>
      <c r="AF65" s="53"/>
      <c r="AG65" s="53"/>
      <c r="AH65" s="53"/>
      <c r="AI65" s="53"/>
    </row>
    <row r="66" spans="1:35" ht="29.5" customHeight="1" x14ac:dyDescent="0.35">
      <c r="A66" s="15"/>
      <c r="B66" s="15"/>
      <c r="C66" s="15"/>
      <c r="D66" s="15"/>
      <c r="E66" s="15"/>
      <c r="F66" s="15"/>
      <c r="G66" s="127"/>
      <c r="H66" s="127"/>
      <c r="I66" s="127"/>
      <c r="J66" s="127"/>
      <c r="K66" s="127"/>
      <c r="L66" s="127"/>
      <c r="M66" s="127"/>
      <c r="N66" s="127"/>
      <c r="O66" s="127"/>
      <c r="P66" s="123" t="s">
        <v>90</v>
      </c>
      <c r="Q66" s="120">
        <f>INDEX(Calculations!$C$136:$AE$151,MATCH(P66,Calculations!$C$136:$C$151,0),MATCH($C$13,Calculations!$C$136:$AE$136,0))</f>
        <v>352.84181781239829</v>
      </c>
      <c r="R66" s="83"/>
      <c r="S66" s="83"/>
      <c r="T66" s="83"/>
      <c r="U66" s="83"/>
      <c r="V66" s="83"/>
      <c r="W66" s="83"/>
      <c r="X66" s="83"/>
      <c r="Y66" s="83"/>
      <c r="Z66" s="83"/>
      <c r="AA66" s="83"/>
      <c r="AB66" s="83"/>
      <c r="AC66" s="83"/>
      <c r="AD66" s="83"/>
      <c r="AE66" s="83"/>
    </row>
    <row r="67" spans="1:35" ht="18.5" x14ac:dyDescent="0.35">
      <c r="A67" s="15"/>
      <c r="B67" s="15"/>
      <c r="C67" s="15"/>
      <c r="D67" s="15"/>
      <c r="E67" s="15"/>
      <c r="F67" s="15"/>
      <c r="G67" s="127"/>
      <c r="H67" s="127"/>
      <c r="I67" s="127"/>
      <c r="J67" s="127"/>
      <c r="K67" s="127"/>
      <c r="L67" s="127"/>
      <c r="M67" s="127"/>
      <c r="N67" s="127"/>
      <c r="O67" s="127"/>
      <c r="P67" s="125" t="str">
        <f>P66&amp;" = "&amp;ROUND(Q66,0)&amp;" USD/tLSFOeq"</f>
        <v>Total S4 = 353 USD/tLSFOeq</v>
      </c>
      <c r="Q67" s="127"/>
      <c r="R67" s="83"/>
      <c r="S67" s="83"/>
      <c r="T67" s="83"/>
      <c r="U67" s="83"/>
      <c r="V67" s="83"/>
      <c r="W67" s="83"/>
      <c r="X67" s="83"/>
      <c r="Y67" s="83"/>
      <c r="Z67" s="83"/>
      <c r="AA67" s="83"/>
      <c r="AB67" s="83"/>
      <c r="AC67" s="83"/>
      <c r="AD67" s="83"/>
      <c r="AE67" s="83"/>
    </row>
    <row r="68" spans="1:35" ht="42" customHeight="1" x14ac:dyDescent="0.35">
      <c r="B68" s="17" t="e" vm="1">
        <v>#VALUE!</v>
      </c>
      <c r="C68" s="20"/>
    </row>
    <row r="69" spans="1:35" x14ac:dyDescent="0.35">
      <c r="C69" s="20"/>
    </row>
    <row r="70" spans="1:35" x14ac:dyDescent="0.35">
      <c r="C70" s="20"/>
    </row>
    <row r="71" spans="1:35" x14ac:dyDescent="0.35">
      <c r="C71" s="20"/>
    </row>
    <row r="72" spans="1:35" x14ac:dyDescent="0.35">
      <c r="C72" s="20"/>
    </row>
    <row r="73" spans="1:35" x14ac:dyDescent="0.35">
      <c r="C73" s="20"/>
    </row>
    <row r="74" spans="1:35" x14ac:dyDescent="0.35">
      <c r="C74" s="20"/>
    </row>
    <row r="75" spans="1:35" x14ac:dyDescent="0.35">
      <c r="C75" s="20"/>
      <c r="G75" s="1"/>
    </row>
    <row r="76" spans="1:35" x14ac:dyDescent="0.35">
      <c r="C76" s="20"/>
      <c r="G76"/>
    </row>
    <row r="77" spans="1:35" x14ac:dyDescent="0.35">
      <c r="C77" s="20"/>
      <c r="G77"/>
    </row>
    <row r="78" spans="1:35" x14ac:dyDescent="0.35">
      <c r="G78"/>
    </row>
    <row r="79" spans="1:35" x14ac:dyDescent="0.35">
      <c r="G79"/>
    </row>
  </sheetData>
  <sheetProtection sheet="1" formatCells="0" formatColumns="0" formatRows="0" insertColumns="0" insertRows="0" insertHyperlinks="0" deleteColumns="0" deleteRows="0" selectLockedCells="1" sort="0" autoFilter="0" pivotTables="0"/>
  <mergeCells count="23">
    <mergeCell ref="D21:E21"/>
    <mergeCell ref="B3:E3"/>
    <mergeCell ref="B6:E6"/>
    <mergeCell ref="B7:E7"/>
    <mergeCell ref="B8:E8"/>
    <mergeCell ref="B9:E9"/>
    <mergeCell ref="D13:E13"/>
    <mergeCell ref="D14:E14"/>
    <mergeCell ref="D15:E15"/>
    <mergeCell ref="D16:E16"/>
    <mergeCell ref="D17:E17"/>
    <mergeCell ref="D20:E20"/>
    <mergeCell ref="B4:E4"/>
    <mergeCell ref="B5:E5"/>
    <mergeCell ref="D61:E61"/>
    <mergeCell ref="D62:E62"/>
    <mergeCell ref="D63:E63"/>
    <mergeCell ref="D24:E24"/>
    <mergeCell ref="D32:E32"/>
    <mergeCell ref="D35:E37"/>
    <mergeCell ref="D50:E50"/>
    <mergeCell ref="D55:E55"/>
    <mergeCell ref="D60:E60"/>
  </mergeCells>
  <conditionalFormatting sqref="B16:B17">
    <cfRule type="expression" dxfId="10" priority="7">
      <formula>$C$15="Enter my own"</formula>
    </cfRule>
  </conditionalFormatting>
  <conditionalFormatting sqref="C16:C17">
    <cfRule type="expression" dxfId="9" priority="8">
      <formula>$C$16="NA"</formula>
    </cfRule>
  </conditionalFormatting>
  <conditionalFormatting sqref="C20">
    <cfRule type="expression" dxfId="8" priority="3">
      <formula>$C$17="Two-tier"</formula>
    </cfRule>
  </conditionalFormatting>
  <conditionalFormatting sqref="C25">
    <cfRule type="expression" dxfId="7" priority="10">
      <formula>$C$24&lt;&gt;"Enter my own"</formula>
    </cfRule>
  </conditionalFormatting>
  <conditionalFormatting sqref="C29">
    <cfRule type="expression" dxfId="6" priority="2">
      <formula>$C$17="One-tier"</formula>
    </cfRule>
  </conditionalFormatting>
  <conditionalFormatting sqref="C42">
    <cfRule type="expression" dxfId="5" priority="11">
      <formula>$C$41&lt;&gt;"Enter Fixed Price"</formula>
    </cfRule>
  </conditionalFormatting>
  <conditionalFormatting sqref="C46">
    <cfRule type="expression" dxfId="4" priority="4">
      <formula>$C$45&lt;&gt;"Enter Fixed Price"</formula>
    </cfRule>
  </conditionalFormatting>
  <conditionalFormatting sqref="C52">
    <cfRule type="expression" dxfId="3" priority="9">
      <formula>$C$51&lt;&gt;"Enter Fixed Price"</formula>
    </cfRule>
  </conditionalFormatting>
  <conditionalFormatting sqref="C56">
    <cfRule type="expression" dxfId="2" priority="5">
      <formula>$C$55&lt;&gt;"Enter Fixed Price"</formula>
    </cfRule>
  </conditionalFormatting>
  <conditionalFormatting sqref="C63">
    <cfRule type="expression" dxfId="1" priority="6">
      <formula>$C$62&lt;&gt;"Enter Fixed Price"</formula>
    </cfRule>
  </conditionalFormatting>
  <conditionalFormatting sqref="D20:E20">
    <cfRule type="expression" dxfId="0" priority="1">
      <formula>$C$17="Two-tier"</formula>
    </cfRule>
  </conditionalFormatting>
  <dataValidations count="19">
    <dataValidation type="list" allowBlank="1" showInputMessage="1" showErrorMessage="1" sqref="C55" xr:uid="{A4BFB88A-B898-426C-834A-6BC5547CE784}">
      <formula1>$R$33:$R$34</formula1>
    </dataValidation>
    <dataValidation type="list" allowBlank="1" showInputMessage="1" showErrorMessage="1" sqref="C45" xr:uid="{4B520E5F-7E2F-4FB7-9501-47620CD50C66}">
      <formula1>$R$29:$R$32</formula1>
    </dataValidation>
    <dataValidation type="list" allowBlank="1" showInputMessage="1" showErrorMessage="1" sqref="C62" xr:uid="{4D601F2D-B9F0-4551-BD04-499C57C774EA}">
      <formula1>$R$37:$R$40</formula1>
    </dataValidation>
    <dataValidation type="list" allowBlank="1" showInputMessage="1" showErrorMessage="1" sqref="C50" xr:uid="{B71195E6-1BE8-45C5-933E-8B5F8D393709}">
      <formula1>$R$35:$R$36</formula1>
    </dataValidation>
    <dataValidation type="custom" allowBlank="1" showInputMessage="1" showErrorMessage="1" errorTitle="Enter new RU" error="The Lower Tier RU price must be less than that Upper Tier RU price." sqref="C29" xr:uid="{D18C98EA-29AC-4E34-9200-9B1812D177F2}">
      <formula1>C29&lt;C28</formula1>
    </dataValidation>
    <dataValidation type="list" allowBlank="1" showInputMessage="1" showErrorMessage="1" sqref="C32" xr:uid="{1B1ECE36-8016-45AC-B89C-62A1CE259DAE}">
      <formula1>$R$20:$R$24</formula1>
    </dataValidation>
    <dataValidation type="list" allowBlank="1" showInputMessage="1" showErrorMessage="1" sqref="C51" xr:uid="{A6E08088-F412-4936-A2E6-B9399C7B1D52}">
      <formula1>$R$27:$R$28</formula1>
    </dataValidation>
    <dataValidation type="list" allowBlank="1" showInputMessage="1" showErrorMessage="1" sqref="C41" xr:uid="{EA980A7D-1811-4EE7-8DB3-B0818295F816}">
      <formula1>$R$25:$R$26</formula1>
    </dataValidation>
    <dataValidation type="list" allowBlank="1" showInputMessage="1" showErrorMessage="1" sqref="C17" xr:uid="{B954B40E-89AA-4DE2-BB2E-F92D4086D410}">
      <formula1>$S$19:$S$20</formula1>
    </dataValidation>
    <dataValidation type="list" allowBlank="1" showInputMessage="1" showErrorMessage="1" sqref="C24" xr:uid="{CC9264B3-1A7C-4021-9746-4B7D827F9A63}">
      <formula1>$R$15:$R$19</formula1>
    </dataValidation>
    <dataValidation type="list" allowBlank="1" showInputMessage="1" showErrorMessage="1" sqref="C21" xr:uid="{5074F988-4275-4322-B396-ED1DCAD47320}">
      <formula1>$R$11:$R$12</formula1>
    </dataValidation>
    <dataValidation type="list" allowBlank="1" showInputMessage="1" showErrorMessage="1" sqref="C20" xr:uid="{B77A20CD-B7EB-4996-8395-8FBE1A0E0210}">
      <formula1>$R$13:$R$14</formula1>
    </dataValidation>
    <dataValidation type="list" allowBlank="1" showInputMessage="1" showErrorMessage="1" sqref="C14" xr:uid="{947466AD-DD95-436D-A52B-15FC636DAD5A}">
      <formula1>$R$9:$R$10</formula1>
    </dataValidation>
    <dataValidation type="list" allowBlank="1" showInputMessage="1" showErrorMessage="1" sqref="C35:C37" xr:uid="{ACF9FF39-A18B-4013-9CAD-3D67F3A90B83}">
      <formula1>$T$11:$T$12</formula1>
    </dataValidation>
    <dataValidation type="list" allowBlank="1" showInputMessage="1" showErrorMessage="1" sqref="C15" xr:uid="{51C61B6D-069C-4CDB-9D16-96C8C2151F2F}">
      <formula1>$S$9:$S$10</formula1>
    </dataValidation>
    <dataValidation type="list" allowBlank="1" showInputMessage="1" showErrorMessage="1" sqref="C13" xr:uid="{F080A2E3-0F5D-4C18-8C63-6F291D4FCFEF}">
      <formula1>$H$52:$AD$52</formula1>
    </dataValidation>
    <dataValidation type="whole" operator="greaterThan" allowBlank="1" showInputMessage="1" showErrorMessage="1" promptTitle="Enter LSFO cost estimate" prompt="USD/tonne" sqref="C42 C52" xr:uid="{AA68C900-AD2F-4CC6-A47B-DCD8F3C8B9AF}">
      <formula1>0</formula1>
    </dataValidation>
    <dataValidation type="decimal" allowBlank="1" showInputMessage="1" showErrorMessage="1" sqref="C61" xr:uid="{38F00323-0BAC-4F38-88A1-696F0D2AB29D}">
      <formula1>-90</formula1>
      <formula2>100</formula2>
    </dataValidation>
    <dataValidation type="decimal" allowBlank="1" showInputMessage="1" showErrorMessage="1" sqref="C60" xr:uid="{0FC16D34-D083-4BCC-B000-A675FC898B0B}">
      <formula1>0</formula1>
      <formula2>2</formula2>
    </dataValidation>
  </dataValidations>
  <hyperlinks>
    <hyperlink ref="D45" r:id="rId1" display="LR &amp; UMAS, 2021" xr:uid="{7C900921-1927-4F6B-B152-D630FF994F58}"/>
    <hyperlink ref="D41" r:id="rId2" xr:uid="{09D28835-42E5-48C8-9BA2-4A2760974791}"/>
    <hyperlink ref="D51" r:id="rId3" xr:uid="{69022479-026D-414B-80DB-7AAF659EFD1D}"/>
    <hyperlink ref="E28" r:id="rId4" display="An MMMCZCS RU analysis found a minimum of 450 is needed to reach IMO targets" xr:uid="{518BDE27-B74C-424A-BF62-9830AA9EDE29}"/>
    <hyperlink ref="B5:E5" r:id="rId5" display="Countdown Newsletter 11 March: Reflections from ISWG-GHG 18" xr:uid="{69A53928-A666-463F-9E9E-F10A05F5C56F}"/>
  </hyperlinks>
  <pageMargins left="0.7" right="0.7" top="0.75" bottom="0.75" header="0.3" footer="0.3"/>
  <pageSetup paperSize="9" orientation="portrait" r:id="rId6"/>
  <ignoredErrors>
    <ignoredError sqref="C16" unlockedFormula="1"/>
  </ignoredError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9552-F634-4F06-85CA-446569EC0291}">
  <sheetPr>
    <tabColor rgb="FFA3C5BF"/>
  </sheetPr>
  <dimension ref="B2:AF460"/>
  <sheetViews>
    <sheetView showGridLines="0" topLeftCell="A123" zoomScale="90" zoomScaleNormal="90" workbookViewId="0">
      <selection activeCell="I15" sqref="I15"/>
    </sheetView>
  </sheetViews>
  <sheetFormatPr defaultRowHeight="14.5" x14ac:dyDescent="0.35"/>
  <cols>
    <col min="2" max="2" width="8.81640625" style="90" customWidth="1"/>
    <col min="3" max="3" width="53.453125" customWidth="1"/>
    <col min="4" max="4" width="19.7265625" style="91" customWidth="1"/>
    <col min="5" max="5" width="29.1796875" style="91" customWidth="1"/>
    <col min="6" max="6" width="23.7265625" style="92" customWidth="1"/>
    <col min="7" max="7" width="20.7265625" style="92" bestFit="1" customWidth="1"/>
    <col min="8" max="8" width="13" customWidth="1"/>
    <col min="9" max="31" width="11.1796875" bestFit="1" customWidth="1"/>
  </cols>
  <sheetData>
    <row r="2" spans="2:31" x14ac:dyDescent="0.35">
      <c r="G2" s="91"/>
    </row>
    <row r="3" spans="2:31" x14ac:dyDescent="0.35">
      <c r="C3" s="24" t="s">
        <v>91</v>
      </c>
      <c r="D3" s="23"/>
      <c r="E3" s="27"/>
      <c r="F3" s="27"/>
      <c r="G3" s="27"/>
      <c r="H3" s="20"/>
      <c r="I3" s="20"/>
      <c r="J3" s="20"/>
      <c r="K3" s="20"/>
      <c r="L3" s="20"/>
      <c r="M3" s="20"/>
    </row>
    <row r="4" spans="2:31" s="94" customFormat="1" ht="43.5" x14ac:dyDescent="0.35">
      <c r="B4" s="90"/>
      <c r="C4" s="48"/>
      <c r="D4" s="128" t="s">
        <v>92</v>
      </c>
      <c r="E4" s="93" t="s">
        <v>75</v>
      </c>
      <c r="F4" s="93" t="s">
        <v>93</v>
      </c>
      <c r="G4" s="93" t="s">
        <v>94</v>
      </c>
      <c r="H4" s="93" t="s">
        <v>95</v>
      </c>
      <c r="I4" s="48" t="s">
        <v>14</v>
      </c>
      <c r="J4" s="48" t="s">
        <v>17</v>
      </c>
      <c r="K4" s="48" t="s">
        <v>50</v>
      </c>
      <c r="L4" s="48" t="s">
        <v>48</v>
      </c>
      <c r="M4" s="48" t="s">
        <v>26</v>
      </c>
      <c r="N4" s="48" t="s">
        <v>28</v>
      </c>
      <c r="O4" s="48" t="s">
        <v>31</v>
      </c>
    </row>
    <row r="5" spans="2:31" x14ac:dyDescent="0.35">
      <c r="C5" t="s">
        <v>96</v>
      </c>
      <c r="D5" s="129" t="str">
        <f>'CCC Summary'!$C$15</f>
        <v>IMO LCA</v>
      </c>
      <c r="E5" s="91" t="s">
        <v>97</v>
      </c>
      <c r="G5" s="23" t="s">
        <v>98</v>
      </c>
      <c r="H5" s="95" cm="1">
        <f t="array" ref="H5">IF('CCC Summary'!$C$15="Enter my own",User_Input_Reference,'CCC Summary'!$C$16)</f>
        <v>94.311786567164177</v>
      </c>
      <c r="I5" s="135"/>
      <c r="J5" s="135"/>
      <c r="K5" s="135"/>
      <c r="L5" s="135"/>
      <c r="M5" s="135"/>
      <c r="N5" s="135"/>
      <c r="O5" s="135"/>
    </row>
    <row r="6" spans="2:31" x14ac:dyDescent="0.35">
      <c r="C6" s="21" t="s">
        <v>4</v>
      </c>
      <c r="D6" s="129" t="str">
        <f>'CCC Summary'!$C$15</f>
        <v>IMO LCA</v>
      </c>
      <c r="G6" s="23" t="s">
        <v>98</v>
      </c>
      <c r="H6" s="38">
        <f>INDEX(Data!$B$4:$L$7,MATCH($C6,Data!$B$4:$B$7,0),MATCH(D$6,Data!$B$4:$L$4,0))</f>
        <v>94.311786567164177</v>
      </c>
      <c r="I6" s="38">
        <v>94.311786567164205</v>
      </c>
      <c r="J6" s="38">
        <v>16.227027027027027</v>
      </c>
      <c r="K6" s="38">
        <v>76.129158859470465</v>
      </c>
      <c r="L6" s="38">
        <v>83.834102851323834</v>
      </c>
      <c r="M6" s="38">
        <v>15.591833999999999</v>
      </c>
      <c r="N6" s="38">
        <v>23.15808899999999</v>
      </c>
      <c r="O6" s="38">
        <f>'CCC Summary'!$C$61</f>
        <v>9.4311786567164155</v>
      </c>
    </row>
    <row r="7" spans="2:31" x14ac:dyDescent="0.35">
      <c r="C7" s="21" t="s">
        <v>7</v>
      </c>
      <c r="D7" s="129" t="str">
        <f>'CCC Summary'!$C$15</f>
        <v>IMO LCA</v>
      </c>
      <c r="F7" s="91" t="s">
        <v>99</v>
      </c>
      <c r="G7" s="23" t="s">
        <v>98</v>
      </c>
      <c r="H7" s="38">
        <f>INDEX(Data!$B$4:$L$7,MATCH($C7,Data!$B$4:$B$7,0),MATCH(D$6,Data!$B$4:$L$4,0))</f>
        <v>77.511786567164194</v>
      </c>
      <c r="I7" s="38">
        <f>I$6*$H$7/$H$6</f>
        <v>77.511786567164208</v>
      </c>
      <c r="J7" s="38">
        <f>J$6*$H$7/$H$6</f>
        <v>13.336465157966138</v>
      </c>
      <c r="K7" s="38">
        <f t="shared" ref="K7:O7" si="0">K$6*$H$7/$H$6</f>
        <v>62.568076884543785</v>
      </c>
      <c r="L7" s="38">
        <f t="shared" si="0"/>
        <v>68.900519476787323</v>
      </c>
      <c r="M7" s="38">
        <f t="shared" si="0"/>
        <v>12.814420691076442</v>
      </c>
      <c r="N7" s="38">
        <f t="shared" si="0"/>
        <v>19.032879316659582</v>
      </c>
      <c r="O7" s="38">
        <f t="shared" si="0"/>
        <v>7.7511786567164167</v>
      </c>
      <c r="P7" s="90"/>
      <c r="Q7" s="90"/>
      <c r="R7" s="90"/>
      <c r="S7" s="90"/>
      <c r="T7" s="90"/>
      <c r="U7" s="90"/>
      <c r="V7" s="90"/>
      <c r="W7" s="90"/>
      <c r="X7" s="90"/>
      <c r="Y7" s="90"/>
      <c r="Z7" s="90"/>
      <c r="AA7" s="90"/>
      <c r="AB7" s="90"/>
      <c r="AC7" s="90"/>
      <c r="AD7" s="90"/>
    </row>
    <row r="8" spans="2:31" x14ac:dyDescent="0.35">
      <c r="C8" s="21" t="s">
        <v>100</v>
      </c>
      <c r="D8" s="130" t="str">
        <f>'CCC Summary'!$C$14</f>
        <v>WtW</v>
      </c>
      <c r="E8" s="96"/>
      <c r="F8" s="96"/>
      <c r="G8" s="23" t="s">
        <v>98</v>
      </c>
      <c r="H8" s="95"/>
      <c r="I8" s="95">
        <f>INDEX($C$4:$O$7,MATCH($D$8,$C$4:$C$7,0),MATCH(I$4,$C$4:$O$4,0))</f>
        <v>94.311786567164205</v>
      </c>
      <c r="J8" s="95">
        <f t="shared" ref="J8:O8" si="1">INDEX($C$4:$O$7,MATCH($D$8,$C$4:$C$7,0),MATCH(J$4,$C$4:$O$4,0))</f>
        <v>16.227027027027027</v>
      </c>
      <c r="K8" s="95">
        <f t="shared" si="1"/>
        <v>76.129158859470465</v>
      </c>
      <c r="L8" s="95">
        <f t="shared" si="1"/>
        <v>83.834102851323834</v>
      </c>
      <c r="M8" s="95">
        <f t="shared" si="1"/>
        <v>15.591833999999999</v>
      </c>
      <c r="N8" s="95">
        <f t="shared" si="1"/>
        <v>23.15808899999999</v>
      </c>
      <c r="O8" s="95">
        <f t="shared" si="1"/>
        <v>9.4311786567164155</v>
      </c>
      <c r="P8" s="90"/>
      <c r="Q8" s="90"/>
      <c r="R8" s="90"/>
      <c r="S8" s="90"/>
      <c r="T8" s="90"/>
      <c r="U8" s="90"/>
      <c r="V8" s="90"/>
      <c r="W8" s="90"/>
      <c r="X8" s="90"/>
      <c r="Y8" s="90"/>
      <c r="Z8" s="90"/>
      <c r="AA8" s="90"/>
      <c r="AB8" s="90"/>
      <c r="AC8" s="90"/>
      <c r="AD8" s="90"/>
    </row>
    <row r="9" spans="2:31" x14ac:dyDescent="0.35">
      <c r="C9" s="90"/>
      <c r="D9" s="96"/>
      <c r="E9" s="96"/>
      <c r="F9" s="96"/>
      <c r="G9" s="96"/>
      <c r="H9" s="90"/>
      <c r="I9" s="90"/>
      <c r="J9" s="90"/>
      <c r="K9" s="90"/>
      <c r="L9" s="90"/>
      <c r="M9" s="90"/>
      <c r="N9" s="90"/>
      <c r="O9" s="90"/>
      <c r="P9" s="90"/>
      <c r="Q9" s="90"/>
      <c r="R9" s="90"/>
      <c r="S9" s="90"/>
      <c r="T9" s="90"/>
      <c r="U9" s="90"/>
      <c r="V9" s="90"/>
      <c r="W9" s="90"/>
      <c r="X9" s="90"/>
      <c r="Y9" s="90"/>
      <c r="Z9" s="90"/>
      <c r="AA9" s="90"/>
      <c r="AB9" s="90"/>
      <c r="AC9" s="90"/>
      <c r="AD9" s="90"/>
    </row>
    <row r="10" spans="2:31" x14ac:dyDescent="0.35">
      <c r="F10" s="91"/>
      <c r="G10" s="91"/>
    </row>
    <row r="12" spans="2:31" x14ac:dyDescent="0.35">
      <c r="C12" s="24" t="s">
        <v>101</v>
      </c>
      <c r="D12" s="44"/>
      <c r="E12" s="27"/>
      <c r="F12" s="23"/>
      <c r="G12" s="23"/>
      <c r="H12" s="20"/>
      <c r="I12" s="20"/>
    </row>
    <row r="13" spans="2:31" x14ac:dyDescent="0.35">
      <c r="C13" s="48" t="s">
        <v>102</v>
      </c>
      <c r="D13" s="128" t="s">
        <v>92</v>
      </c>
      <c r="E13" s="93" t="s">
        <v>75</v>
      </c>
      <c r="F13" s="93" t="s">
        <v>93</v>
      </c>
      <c r="G13" s="40" t="s">
        <v>94</v>
      </c>
      <c r="H13" s="136">
        <v>2027</v>
      </c>
      <c r="I13" s="137">
        <v>2028</v>
      </c>
      <c r="J13" s="137">
        <v>2029</v>
      </c>
      <c r="K13" s="137">
        <v>2030</v>
      </c>
      <c r="L13" s="137">
        <v>2031</v>
      </c>
      <c r="M13" s="137">
        <v>2032</v>
      </c>
      <c r="N13" s="137">
        <v>2033</v>
      </c>
      <c r="O13" s="137">
        <v>2034</v>
      </c>
      <c r="P13" s="137">
        <v>2035</v>
      </c>
      <c r="Q13" s="136">
        <v>2036</v>
      </c>
      <c r="R13" s="136">
        <v>2037</v>
      </c>
      <c r="S13" s="137">
        <v>2038</v>
      </c>
      <c r="T13" s="137">
        <v>2039</v>
      </c>
      <c r="U13" s="137">
        <v>2040</v>
      </c>
      <c r="V13" s="137">
        <v>2041</v>
      </c>
      <c r="W13" s="137">
        <v>2042</v>
      </c>
      <c r="X13" s="137">
        <v>2043</v>
      </c>
      <c r="Y13" s="137">
        <v>2044</v>
      </c>
      <c r="Z13" s="137">
        <v>2045</v>
      </c>
      <c r="AA13" s="136">
        <v>2046</v>
      </c>
      <c r="AB13" s="136">
        <v>2047</v>
      </c>
      <c r="AC13" s="137">
        <v>2048</v>
      </c>
      <c r="AD13" s="137">
        <v>2049</v>
      </c>
      <c r="AE13" s="137">
        <v>2050</v>
      </c>
    </row>
    <row r="14" spans="2:31" x14ac:dyDescent="0.35">
      <c r="C14" s="97" t="s">
        <v>103</v>
      </c>
      <c r="D14" s="130" t="str">
        <f>IF('CCC Summary'!C17="Two-tier","Base",'CCC Summary'!$C$20)&amp;" "&amp;'CCC Summary'!$C$21</f>
        <v>Base Yearly</v>
      </c>
      <c r="E14" s="27" t="s">
        <v>104</v>
      </c>
      <c r="F14" s="98" t="s">
        <v>105</v>
      </c>
      <c r="G14" s="23" t="s">
        <v>98</v>
      </c>
      <c r="H14" s="138">
        <f>$H$5*(1-INDEX(Data!$B$13:$AB$27,MATCH($D$14,Data!$B$13:$B$27,0),MATCH(H$13,Data!$B$13:$AB$13,0)))</f>
        <v>91.482432970149247</v>
      </c>
      <c r="I14" s="138">
        <f>$H$5*(1-INDEX(Data!$B$13:$AB$27,MATCH($D$14,Data!$B$13:$B$27,0),MATCH(I$13,Data!$B$13:$AB$13,0)))</f>
        <v>88.181520440298513</v>
      </c>
      <c r="J14" s="138">
        <f>$H$5*(1-INDEX(Data!$B$13:$AB$27,MATCH($D$14,Data!$B$13:$B$27,0),MATCH(J$13,Data!$B$13:$AB$13,0)))</f>
        <v>86.295284708955222</v>
      </c>
      <c r="K14" s="138">
        <f>$H$5*(1-INDEX(Data!$B$13:$AB$27,MATCH($D$14,Data!$B$13:$B$27,0),MATCH(K$13,Data!$B$13:$AB$13,0)))</f>
        <v>82.994372179104474</v>
      </c>
      <c r="L14" s="138">
        <f>$H$5*(1-INDEX(Data!$B$13:$AB$27,MATCH($D$14,Data!$B$13:$B$27,0),MATCH(L$13,Data!$B$13:$AB$13,0)))</f>
        <v>78.278782850746268</v>
      </c>
      <c r="M14" s="138">
        <f>$H$5*(1-INDEX(Data!$B$13:$AB$27,MATCH($D$14,Data!$B$13:$B$27,0),MATCH(M$13,Data!$B$13:$AB$13,0)))</f>
        <v>73.091634589552243</v>
      </c>
      <c r="N14" s="138">
        <f>$H$5*(1-INDEX(Data!$B$13:$AB$27,MATCH($D$14,Data!$B$13:$B$27,0),MATCH(N$13,Data!$B$13:$AB$13,0)))</f>
        <v>67.904486328358203</v>
      </c>
      <c r="O14" s="138">
        <f>$H$5*(1-INDEX(Data!$B$13:$AB$27,MATCH($D$14,Data!$B$13:$B$27,0),MATCH(O$13,Data!$B$13:$AB$13,0)))</f>
        <v>62.717338067164178</v>
      </c>
      <c r="P14" s="138">
        <f>$H$5*(1-INDEX(Data!$B$13:$AB$27,MATCH($D$14,Data!$B$13:$B$27,0),MATCH(P$13,Data!$B$13:$AB$13,0)))</f>
        <v>58.001748738805965</v>
      </c>
      <c r="Q14" s="138">
        <f>$H$5*(1-INDEX(Data!$B$13:$AB$27,MATCH($D$14,Data!$B$13:$B$27,0),MATCH(Q$13,Data!$B$13:$AB$13,0)))</f>
        <v>52.531665117910443</v>
      </c>
      <c r="R14" s="138">
        <f>$H$5*(1-INDEX(Data!$B$13:$AB$27,MATCH($D$14,Data!$B$13:$B$27,0),MATCH(R$13,Data!$B$13:$AB$13,0)))</f>
        <v>47.061581497014927</v>
      </c>
      <c r="S14" s="138">
        <f>$H$5*(1-INDEX(Data!$B$13:$AB$27,MATCH($D$14,Data!$B$13:$B$27,0),MATCH(S$13,Data!$B$13:$AB$13,0)))</f>
        <v>41.591497876119398</v>
      </c>
      <c r="T14" s="138">
        <f>$H$5*(1-INDEX(Data!$B$13:$AB$27,MATCH($D$14,Data!$B$13:$B$27,0),MATCH(T$13,Data!$B$13:$AB$13,0)))</f>
        <v>36.121414255223868</v>
      </c>
      <c r="U14" s="138">
        <f>$H$5*(1-INDEX(Data!$B$13:$AB$27,MATCH($D$14,Data!$B$13:$B$27,0),MATCH(U$13,Data!$B$13:$AB$13,0)))</f>
        <v>30.651330634328353</v>
      </c>
      <c r="V14" s="138">
        <f>$H$5*(1-INDEX(Data!$B$13:$AB$27,MATCH($D$14,Data!$B$13:$B$27,0),MATCH(V$13,Data!$B$13:$AB$13,0)))</f>
        <v>27.727665250746263</v>
      </c>
      <c r="W14" s="138">
        <f>$H$5*(1-INDEX(Data!$B$13:$AB$27,MATCH($D$14,Data!$B$13:$B$27,0),MATCH(W$13,Data!$B$13:$AB$13,0)))</f>
        <v>24.803999867164169</v>
      </c>
      <c r="X14" s="138">
        <f>$H$5*(1-INDEX(Data!$B$13:$AB$27,MATCH($D$14,Data!$B$13:$B$27,0),MATCH(X$13,Data!$B$13:$AB$13,0)))</f>
        <v>21.880334483582079</v>
      </c>
      <c r="Y14" s="138">
        <f>$H$5*(1-INDEX(Data!$B$13:$AB$27,MATCH($D$14,Data!$B$13:$B$27,0),MATCH(Y$13,Data!$B$13:$AB$13,0)))</f>
        <v>18.956669099999985</v>
      </c>
      <c r="Z14" s="138">
        <f>$H$5*(1-INDEX(Data!$B$13:$AB$27,MATCH($D$14,Data!$B$13:$B$27,0),MATCH(Z$13,Data!$B$13:$AB$13,0)))</f>
        <v>16.033003716417912</v>
      </c>
      <c r="AA14" s="138">
        <f>$H$5*(1-INDEX(Data!$B$13:$AB$27,MATCH($D$14,Data!$B$13:$B$27,0),MATCH(AA$13,Data!$B$13:$AB$13,0)))</f>
        <v>13.203650119402987</v>
      </c>
      <c r="AB14" s="138">
        <f>$H$5*(1-INDEX(Data!$B$13:$AB$27,MATCH($D$14,Data!$B$13:$B$27,0),MATCH(AB$13,Data!$B$13:$AB$13,0)))</f>
        <v>10.374296522388057</v>
      </c>
      <c r="AC14" s="138">
        <f>$H$5*(1-INDEX(Data!$B$13:$AB$27,MATCH($D$14,Data!$B$13:$B$27,0),MATCH(AC$13,Data!$B$13:$AB$13,0)))</f>
        <v>7.5449429253731299</v>
      </c>
      <c r="AD14" s="138">
        <f>$H$5*(1-INDEX(Data!$B$13:$AB$27,MATCH($D$14,Data!$B$13:$B$27,0),MATCH(AD$13,Data!$B$13:$AB$13,0)))</f>
        <v>4.7155893283582024</v>
      </c>
      <c r="AE14" s="138">
        <f>$H$5*(1-INDEX(Data!$B$13:$AB$27,MATCH($D$14,Data!$B$13:$B$27,0),MATCH(AE$13,Data!$B$13:$AB$13,0)))</f>
        <v>1.8862357313432851</v>
      </c>
    </row>
    <row r="15" spans="2:31" x14ac:dyDescent="0.35">
      <c r="C15" s="97" t="s">
        <v>271</v>
      </c>
      <c r="D15" s="130" t="str">
        <f>IF('CCC Summary'!$C$17="Two-tier","Striving "&amp;'CCC Summary'!$C$21,"No Tier 2")</f>
        <v>Striving Yearly</v>
      </c>
      <c r="E15" s="27" t="s">
        <v>104</v>
      </c>
      <c r="F15" s="98"/>
      <c r="G15" s="23" t="s">
        <v>98</v>
      </c>
      <c r="H15" s="138">
        <f>$H$5*(1-INDEX(Data!$B$13:$AB$27,MATCH($D$15,Data!$B$13:$B$27,0),MATCH(H$13,Data!$B$13:$AB$13,0)))</f>
        <v>87.238402574626861</v>
      </c>
      <c r="I15" s="138">
        <f>$H$5*(1-INDEX(Data!$B$13:$AB$27,MATCH($D$15,Data!$B$13:$B$27,0),MATCH(I$13,Data!$B$13:$AB$13,0)))</f>
        <v>82.051254313432835</v>
      </c>
      <c r="J15" s="138">
        <f>$H$5*(1-INDEX(Data!$B$13:$AB$27,MATCH($D$15,Data!$B$13:$B$27,0),MATCH(J$13,Data!$B$13:$AB$13,0)))</f>
        <v>75.920988186567158</v>
      </c>
      <c r="K15" s="138">
        <f>$H$5*(1-INDEX(Data!$B$13:$AB$27,MATCH($D$15,Data!$B$13:$B$27,0),MATCH(K$13,Data!$B$13:$AB$13,0)))</f>
        <v>71.205398858208952</v>
      </c>
      <c r="L15" s="138">
        <f>$H$5*(1-INDEX(Data!$B$13:$AB$27,MATCH($D$15,Data!$B$13:$B$27,0),MATCH(L$13,Data!$B$13:$AB$13,0)))</f>
        <v>66.018250597014926</v>
      </c>
      <c r="M15" s="138">
        <f>$H$5*(1-INDEX(Data!$B$13:$AB$27,MATCH($D$15,Data!$B$13:$B$27,0),MATCH(M$13,Data!$B$13:$AB$13,0)))</f>
        <v>60.831102335820894</v>
      </c>
      <c r="N15" s="138">
        <f>$H$5*(1-INDEX(Data!$B$13:$AB$27,MATCH($D$15,Data!$B$13:$B$27,0),MATCH(N$13,Data!$B$13:$AB$13,0)))</f>
        <v>55.643954074626869</v>
      </c>
      <c r="O15" s="138">
        <f>$H$5*(1-INDEX(Data!$B$13:$AB$27,MATCH($D$15,Data!$B$13:$B$27,0),MATCH(O$13,Data!$B$13:$AB$13,0)))</f>
        <v>50.928364746268656</v>
      </c>
      <c r="P15" s="138">
        <f>$H$5*(1-INDEX(Data!$B$13:$AB$27,MATCH($D$15,Data!$B$13:$B$27,0),MATCH(P$13,Data!$B$13:$AB$13,0)))</f>
        <v>45.741216485074624</v>
      </c>
      <c r="Q15" s="138">
        <f>$H$5*(1-INDEX(Data!$B$13:$AB$27,MATCH($D$15,Data!$B$13:$B$27,0),MATCH(Q$13,Data!$B$13:$AB$13,0)))</f>
        <v>40.648380010447752</v>
      </c>
      <c r="R15" s="138">
        <f>$H$5*(1-INDEX(Data!$B$13:$AB$27,MATCH($D$15,Data!$B$13:$B$27,0),MATCH(R$13,Data!$B$13:$AB$13,0)))</f>
        <v>35.555543535820881</v>
      </c>
      <c r="S15" s="138">
        <f>$H$5*(1-INDEX(Data!$B$13:$AB$27,MATCH($D$15,Data!$B$13:$B$27,0),MATCH(S$13,Data!$B$13:$AB$13,0)))</f>
        <v>30.462707061194013</v>
      </c>
      <c r="T15" s="138">
        <f>$H$5*(1-INDEX(Data!$B$13:$AB$27,MATCH($D$15,Data!$B$13:$B$27,0),MATCH(T$13,Data!$B$13:$AB$13,0)))</f>
        <v>25.369870586567146</v>
      </c>
      <c r="U15" s="138">
        <f>$H$5*(1-INDEX(Data!$B$13:$AB$27,MATCH($D$15,Data!$B$13:$B$27,0),MATCH(U$13,Data!$B$13:$AB$13,0)))</f>
        <v>20.277034111940296</v>
      </c>
      <c r="V15" s="138">
        <f>$H$5*(1-INDEX(Data!$B$13:$AB$27,MATCH($D$15,Data!$B$13:$B$27,0),MATCH(V$13,Data!$B$13:$AB$13,0)))</f>
        <v>18.296486594029847</v>
      </c>
      <c r="W15" s="138">
        <f>$H$5*(1-INDEX(Data!$B$13:$AB$27,MATCH($D$15,Data!$B$13:$B$27,0),MATCH(W$13,Data!$B$13:$AB$13,0)))</f>
        <v>16.315939076119395</v>
      </c>
      <c r="X15" s="138">
        <f>$H$5*(1-INDEX(Data!$B$13:$AB$27,MATCH($D$15,Data!$B$13:$B$27,0),MATCH(X$13,Data!$B$13:$AB$13,0)))</f>
        <v>14.335391558208947</v>
      </c>
      <c r="Y15" s="138">
        <f>$H$5*(1-INDEX(Data!$B$13:$AB$27,MATCH($D$15,Data!$B$13:$B$27,0),MATCH(Y$13,Data!$B$13:$AB$13,0)))</f>
        <v>12.354844040298497</v>
      </c>
      <c r="Z15" s="138">
        <f>$H$5*(1-INDEX(Data!$B$13:$AB$27,MATCH($D$15,Data!$B$13:$B$27,0),MATCH(Z$13,Data!$B$13:$AB$13,0)))</f>
        <v>10.374296522388057</v>
      </c>
      <c r="AA15" s="138">
        <f>$H$5*(1-INDEX(Data!$B$13:$AB$27,MATCH($D$15,Data!$B$13:$B$27,0),MATCH(AA$13,Data!$B$13:$AB$13,0)))</f>
        <v>8.6766843641791009</v>
      </c>
      <c r="AB15" s="138">
        <f>$H$5*(1-INDEX(Data!$B$13:$AB$27,MATCH($D$15,Data!$B$13:$B$27,0),MATCH(AB$13,Data!$B$13:$AB$13,0)))</f>
        <v>6.9790722059701444</v>
      </c>
      <c r="AC15" s="138">
        <f>$H$5*(1-INDEX(Data!$B$13:$AB$27,MATCH($D$15,Data!$B$13:$B$27,0),MATCH(AC$13,Data!$B$13:$AB$13,0)))</f>
        <v>5.2814600477611879</v>
      </c>
      <c r="AD15" s="138">
        <f>$H$5*(1-INDEX(Data!$B$13:$AB$27,MATCH($D$15,Data!$B$13:$B$27,0),MATCH(AD$13,Data!$B$13:$AB$13,0)))</f>
        <v>3.5838478895522314</v>
      </c>
      <c r="AE15" s="138">
        <f>$H$5*(1-INDEX(Data!$B$13:$AB$27,MATCH($D$15,Data!$B$13:$B$27,0),MATCH(AE$13,Data!$B$13:$AB$13,0)))</f>
        <v>1.8862357313432851</v>
      </c>
    </row>
    <row r="16" spans="2:31" x14ac:dyDescent="0.35">
      <c r="C16" s="20" t="s">
        <v>83</v>
      </c>
      <c r="D16" s="131" t="str">
        <f>'CCC Summary'!$C$24</f>
        <v>No Levy ($0)</v>
      </c>
      <c r="E16" s="27" t="s">
        <v>104</v>
      </c>
      <c r="F16" s="49"/>
      <c r="G16" s="23" t="s">
        <v>106</v>
      </c>
      <c r="H16" s="139" cm="1">
        <f t="array" ref="H16">IF($D$16="Enter my own",Input_Levy,INDEX(Data!$B$13:$AB$27,MATCH($D$16,Data!$B$13:$B$27,0),MATCH(H$13,Data!$B$13:$AB$13,0)))</f>
        <v>0</v>
      </c>
      <c r="I16" s="139" cm="1">
        <f t="array" ref="I16">IF($D$16="Enter my own",Input_Levy,INDEX(Data!$B$13:$AB$27,MATCH($D$16,Data!$B$13:$B$27,0),MATCH(I$13,Data!$B$13:$AB$13,0)))</f>
        <v>0</v>
      </c>
      <c r="J16" s="139" cm="1">
        <f t="array" ref="J16">IF($D$16="Enter my own",Input_Levy,INDEX(Data!$B$13:$AB$27,MATCH($D$16,Data!$B$13:$B$27,0),MATCH(J$13,Data!$B$13:$AB$13,0)))</f>
        <v>0</v>
      </c>
      <c r="K16" s="139" cm="1">
        <f t="array" ref="K16">IF($D$16="Enter my own",Input_Levy,INDEX(Data!$B$13:$AB$27,MATCH($D$16,Data!$B$13:$B$27,0),MATCH(K$13,Data!$B$13:$AB$13,0)))</f>
        <v>0</v>
      </c>
      <c r="L16" s="139" cm="1">
        <f t="array" ref="L16">IF($D$16="Enter my own",Input_Levy,INDEX(Data!$B$13:$AB$27,MATCH($D$16,Data!$B$13:$B$27,0),MATCH(L$13,Data!$B$13:$AB$13,0)))</f>
        <v>0</v>
      </c>
      <c r="M16" s="139" cm="1">
        <f t="array" ref="M16">IF($D$16="Enter my own",Input_Levy,INDEX(Data!$B$13:$AB$27,MATCH($D$16,Data!$B$13:$B$27,0),MATCH(M$13,Data!$B$13:$AB$13,0)))</f>
        <v>0</v>
      </c>
      <c r="N16" s="139" cm="1">
        <f t="array" ref="N16">IF($D$16="Enter my own",Input_Levy,INDEX(Data!$B$13:$AB$27,MATCH($D$16,Data!$B$13:$B$27,0),MATCH(N$13,Data!$B$13:$AB$13,0)))</f>
        <v>0</v>
      </c>
      <c r="O16" s="139" cm="1">
        <f t="array" ref="O16">IF($D$16="Enter my own",Input_Levy,INDEX(Data!$B$13:$AB$27,MATCH($D$16,Data!$B$13:$B$27,0),MATCH(O$13,Data!$B$13:$AB$13,0)))</f>
        <v>0</v>
      </c>
      <c r="P16" s="139" cm="1">
        <f t="array" ref="P16">IF($D$16="Enter my own",Input_Levy,INDEX(Data!$B$13:$AB$27,MATCH($D$16,Data!$B$13:$B$27,0),MATCH(P$13,Data!$B$13:$AB$13,0)))</f>
        <v>0</v>
      </c>
      <c r="Q16" s="139" cm="1">
        <f t="array" ref="Q16">IF($D$16="Enter my own",Input_Levy,INDEX(Data!$B$13:$AB$27,MATCH($D$16,Data!$B$13:$B$27,0),MATCH(Q$13,Data!$B$13:$AB$13,0)))</f>
        <v>0</v>
      </c>
      <c r="R16" s="139" cm="1">
        <f t="array" ref="R16">IF($D$16="Enter my own",Input_Levy,INDEX(Data!$B$13:$AB$27,MATCH($D$16,Data!$B$13:$B$27,0),MATCH(R$13,Data!$B$13:$AB$13,0)))</f>
        <v>0</v>
      </c>
      <c r="S16" s="139" cm="1">
        <f t="array" ref="S16">IF($D$16="Enter my own",Input_Levy,INDEX(Data!$B$13:$AB$27,MATCH($D$16,Data!$B$13:$B$27,0),MATCH(S$13,Data!$B$13:$AB$13,0)))</f>
        <v>0</v>
      </c>
      <c r="T16" s="139" cm="1">
        <f t="array" ref="T16">IF($D$16="Enter my own",Input_Levy,INDEX(Data!$B$13:$AB$27,MATCH($D$16,Data!$B$13:$B$27,0),MATCH(T$13,Data!$B$13:$AB$13,0)))</f>
        <v>0</v>
      </c>
      <c r="U16" s="139" cm="1">
        <f t="array" ref="U16">IF($D$16="Enter my own",Input_Levy,INDEX(Data!$B$13:$AB$27,MATCH($D$16,Data!$B$13:$B$27,0),MATCH(U$13,Data!$B$13:$AB$13,0)))</f>
        <v>0</v>
      </c>
      <c r="V16" s="139" cm="1">
        <f t="array" ref="V16">IF($D$16="Enter my own",Input_Levy,INDEX(Data!$B$13:$AB$27,MATCH($D$16,Data!$B$13:$B$27,0),MATCH(V$13,Data!$B$13:$AB$13,0)))</f>
        <v>0</v>
      </c>
      <c r="W16" s="139" cm="1">
        <f t="array" ref="W16">IF($D$16="Enter my own",Input_Levy,INDEX(Data!$B$13:$AB$27,MATCH($D$16,Data!$B$13:$B$27,0),MATCH(W$13,Data!$B$13:$AB$13,0)))</f>
        <v>0</v>
      </c>
      <c r="X16" s="139" cm="1">
        <f t="array" ref="X16">IF($D$16="Enter my own",Input_Levy,INDEX(Data!$B$13:$AB$27,MATCH($D$16,Data!$B$13:$B$27,0),MATCH(X$13,Data!$B$13:$AB$13,0)))</f>
        <v>0</v>
      </c>
      <c r="Y16" s="139" cm="1">
        <f t="array" ref="Y16">IF($D$16="Enter my own",Input_Levy,INDEX(Data!$B$13:$AB$27,MATCH($D$16,Data!$B$13:$B$27,0),MATCH(Y$13,Data!$B$13:$AB$13,0)))</f>
        <v>0</v>
      </c>
      <c r="Z16" s="139" cm="1">
        <f t="array" ref="Z16">IF($D$16="Enter my own",Input_Levy,INDEX(Data!$B$13:$AB$27,MATCH($D$16,Data!$B$13:$B$27,0),MATCH(Z$13,Data!$B$13:$AB$13,0)))</f>
        <v>0</v>
      </c>
      <c r="AA16" s="139" cm="1">
        <f t="array" ref="AA16">IF($D$16="Enter my own",Input_Levy,INDEX(Data!$B$13:$AB$27,MATCH($D$16,Data!$B$13:$B$27,0),MATCH(AA$13,Data!$B$13:$AB$13,0)))</f>
        <v>0</v>
      </c>
      <c r="AB16" s="139" cm="1">
        <f t="array" ref="AB16">IF($D$16="Enter my own",Input_Levy,INDEX(Data!$B$13:$AB$27,MATCH($D$16,Data!$B$13:$B$27,0),MATCH(AB$13,Data!$B$13:$AB$13,0)))</f>
        <v>0</v>
      </c>
      <c r="AC16" s="139" cm="1">
        <f t="array" ref="AC16">IF($D$16="Enter my own",Input_Levy,INDEX(Data!$B$13:$AB$27,MATCH($D$16,Data!$B$13:$B$27,0),MATCH(AC$13,Data!$B$13:$AB$13,0)))</f>
        <v>0</v>
      </c>
      <c r="AD16" s="139" cm="1">
        <f t="array" ref="AD16">IF($D$16="Enter my own",Input_Levy,INDEX(Data!$B$13:$AB$27,MATCH($D$16,Data!$B$13:$B$27,0),MATCH(AD$13,Data!$B$13:$AB$13,0)))</f>
        <v>0</v>
      </c>
      <c r="AE16" s="139" cm="1">
        <f t="array" ref="AE16">IF($D$16="Enter my own",Input_Levy,INDEX(Data!$B$13:$AB$27,MATCH($D$16,Data!$B$13:$B$27,0),MATCH(AE$13,Data!$B$13:$AB$13,0)))</f>
        <v>0</v>
      </c>
    </row>
    <row r="17" spans="2:31" x14ac:dyDescent="0.35">
      <c r="C17" s="20" t="s">
        <v>107</v>
      </c>
      <c r="D17" s="131" t="str">
        <f>'CCC Summary'!C32</f>
        <v>MMMCZCS Reward Rate (60% of collected funds)</v>
      </c>
      <c r="E17" s="27" t="s">
        <v>104</v>
      </c>
      <c r="F17" s="23"/>
      <c r="G17" s="23" t="s">
        <v>106</v>
      </c>
      <c r="H17" s="139">
        <f>INDEX(Data!$B$13:$AB$27,MATCH($D$17,Data!$B$13:$B$27,0),MATCH(H$13,Data!$B$13:$AB$13,0))</f>
        <v>400</v>
      </c>
      <c r="I17" s="139">
        <f>INDEX(Data!$B$13:$AB$27,MATCH($D$17,Data!$B$13:$B$27,0),MATCH(I$13,Data!$B$13:$AB$13,0))</f>
        <v>400</v>
      </c>
      <c r="J17" s="139">
        <f>INDEX(Data!$B$13:$AB$27,MATCH($D$17,Data!$B$13:$B$27,0),MATCH(J$13,Data!$B$13:$AB$13,0))</f>
        <v>400</v>
      </c>
      <c r="K17" s="139">
        <f>INDEX(Data!$B$13:$AB$27,MATCH($D$17,Data!$B$13:$B$27,0),MATCH(K$13,Data!$B$13:$AB$13,0))</f>
        <v>350</v>
      </c>
      <c r="L17" s="139">
        <f>INDEX(Data!$B$13:$AB$27,MATCH($D$17,Data!$B$13:$B$27,0),MATCH(L$13,Data!$B$13:$AB$13,0))</f>
        <v>300</v>
      </c>
      <c r="M17" s="139">
        <f>INDEX(Data!$B$13:$AB$27,MATCH($D$17,Data!$B$13:$B$27,0),MATCH(M$13,Data!$B$13:$AB$13,0))</f>
        <v>250</v>
      </c>
      <c r="N17" s="139">
        <f>INDEX(Data!$B$13:$AB$27,MATCH($D$17,Data!$B$13:$B$27,0),MATCH(N$13,Data!$B$13:$AB$13,0))</f>
        <v>200</v>
      </c>
      <c r="O17" s="139">
        <f>INDEX(Data!$B$13:$AB$27,MATCH($D$17,Data!$B$13:$B$27,0),MATCH(O$13,Data!$B$13:$AB$13,0))</f>
        <v>150</v>
      </c>
      <c r="P17" s="139">
        <f>INDEX(Data!$B$13:$AB$27,MATCH($D$17,Data!$B$13:$B$27,0),MATCH(P$13,Data!$B$13:$AB$13,0))</f>
        <v>100</v>
      </c>
      <c r="Q17" s="139">
        <f>INDEX(Data!$B$13:$AB$27,MATCH($D$17,Data!$B$13:$B$27,0),MATCH(Q$13,Data!$B$13:$AB$13,0))</f>
        <v>85</v>
      </c>
      <c r="R17" s="139">
        <f>INDEX(Data!$B$13:$AB$27,MATCH($D$17,Data!$B$13:$B$27,0),MATCH(R$13,Data!$B$13:$AB$13,0))</f>
        <v>70</v>
      </c>
      <c r="S17" s="139">
        <f>INDEX(Data!$B$13:$AB$27,MATCH($D$17,Data!$B$13:$B$27,0),MATCH(S$13,Data!$B$13:$AB$13,0))</f>
        <v>55</v>
      </c>
      <c r="T17" s="139">
        <f>INDEX(Data!$B$13:$AB$27,MATCH($D$17,Data!$B$13:$B$27,0),MATCH(T$13,Data!$B$13:$AB$13,0))</f>
        <v>40</v>
      </c>
      <c r="U17" s="139">
        <f>INDEX(Data!$B$13:$AB$27,MATCH($D$17,Data!$B$13:$B$27,0),MATCH(U$13,Data!$B$13:$AB$13,0))</f>
        <v>25</v>
      </c>
      <c r="V17" s="139">
        <f>INDEX(Data!$B$13:$AB$27,MATCH($D$17,Data!$B$13:$B$27,0),MATCH(V$13,Data!$B$13:$AB$13,0))</f>
        <v>23</v>
      </c>
      <c r="W17" s="139">
        <f>INDEX(Data!$B$13:$AB$27,MATCH($D$17,Data!$B$13:$B$27,0),MATCH(W$13,Data!$B$13:$AB$13,0))</f>
        <v>21</v>
      </c>
      <c r="X17" s="139">
        <f>INDEX(Data!$B$13:$AB$27,MATCH($D$17,Data!$B$13:$B$27,0),MATCH(X$13,Data!$B$13:$AB$13,0))</f>
        <v>19</v>
      </c>
      <c r="Y17" s="139">
        <f>INDEX(Data!$B$13:$AB$27,MATCH($D$17,Data!$B$13:$B$27,0),MATCH(Y$13,Data!$B$13:$AB$13,0))</f>
        <v>17</v>
      </c>
      <c r="Z17" s="139">
        <f>INDEX(Data!$B$13:$AB$27,MATCH($D$17,Data!$B$13:$B$27,0),MATCH(Z$13,Data!$B$13:$AB$13,0))</f>
        <v>15</v>
      </c>
      <c r="AA17" s="139">
        <f>INDEX(Data!$B$13:$AB$27,MATCH($D$17,Data!$B$13:$B$27,0),MATCH(AA$13,Data!$B$13:$AB$13,0))</f>
        <v>13</v>
      </c>
      <c r="AB17" s="139">
        <f>INDEX(Data!$B$13:$AB$27,MATCH($D$17,Data!$B$13:$B$27,0),MATCH(AB$13,Data!$B$13:$AB$13,0))</f>
        <v>11</v>
      </c>
      <c r="AC17" s="139">
        <f>INDEX(Data!$B$13:$AB$27,MATCH($D$17,Data!$B$13:$B$27,0),MATCH(AC$13,Data!$B$13:$AB$13,0))</f>
        <v>9</v>
      </c>
      <c r="AD17" s="139">
        <f>INDEX(Data!$B$13:$AB$27,MATCH($D$17,Data!$B$13:$B$27,0),MATCH(AD$13,Data!$B$13:$AB$13,0))</f>
        <v>7</v>
      </c>
      <c r="AE17" s="139">
        <f>INDEX(Data!$B$13:$AB$27,MATCH($D$17,Data!$B$13:$B$27,0),MATCH(AE$13,Data!$B$13:$AB$13,0))</f>
        <v>5</v>
      </c>
    </row>
    <row r="18" spans="2:31" x14ac:dyDescent="0.35">
      <c r="C18" t="s">
        <v>269</v>
      </c>
      <c r="D18" s="131">
        <f>'CCC Summary'!$C$28</f>
        <v>600</v>
      </c>
      <c r="E18" s="27" t="s">
        <v>104</v>
      </c>
      <c r="F18" s="23"/>
      <c r="G18" s="23" t="s">
        <v>106</v>
      </c>
      <c r="H18" s="140">
        <f>$D$18</f>
        <v>600</v>
      </c>
      <c r="I18" s="140">
        <f t="shared" ref="I18:AE18" si="2">$D$18</f>
        <v>600</v>
      </c>
      <c r="J18" s="140">
        <f t="shared" si="2"/>
        <v>600</v>
      </c>
      <c r="K18" s="140">
        <f t="shared" si="2"/>
        <v>600</v>
      </c>
      <c r="L18" s="140">
        <f t="shared" si="2"/>
        <v>600</v>
      </c>
      <c r="M18" s="140">
        <f t="shared" si="2"/>
        <v>600</v>
      </c>
      <c r="N18" s="140">
        <f t="shared" si="2"/>
        <v>600</v>
      </c>
      <c r="O18" s="140">
        <f t="shared" si="2"/>
        <v>600</v>
      </c>
      <c r="P18" s="140">
        <f t="shared" si="2"/>
        <v>600</v>
      </c>
      <c r="Q18" s="140">
        <f t="shared" si="2"/>
        <v>600</v>
      </c>
      <c r="R18" s="140">
        <f t="shared" si="2"/>
        <v>600</v>
      </c>
      <c r="S18" s="140">
        <f t="shared" si="2"/>
        <v>600</v>
      </c>
      <c r="T18" s="140">
        <f t="shared" si="2"/>
        <v>600</v>
      </c>
      <c r="U18" s="140">
        <f t="shared" si="2"/>
        <v>600</v>
      </c>
      <c r="V18" s="140">
        <f t="shared" si="2"/>
        <v>600</v>
      </c>
      <c r="W18" s="140">
        <f t="shared" si="2"/>
        <v>600</v>
      </c>
      <c r="X18" s="140">
        <f t="shared" si="2"/>
        <v>600</v>
      </c>
      <c r="Y18" s="140">
        <f t="shared" si="2"/>
        <v>600</v>
      </c>
      <c r="Z18" s="140">
        <f t="shared" si="2"/>
        <v>600</v>
      </c>
      <c r="AA18" s="140">
        <f t="shared" si="2"/>
        <v>600</v>
      </c>
      <c r="AB18" s="140">
        <f t="shared" si="2"/>
        <v>600</v>
      </c>
      <c r="AC18" s="140">
        <f t="shared" si="2"/>
        <v>600</v>
      </c>
      <c r="AD18" s="140">
        <f t="shared" si="2"/>
        <v>600</v>
      </c>
      <c r="AE18" s="140">
        <f t="shared" si="2"/>
        <v>600</v>
      </c>
    </row>
    <row r="19" spans="2:31" x14ac:dyDescent="0.35">
      <c r="C19" t="s">
        <v>270</v>
      </c>
      <c r="D19" s="131">
        <f>'CCC Summary'!C29</f>
        <v>100</v>
      </c>
      <c r="E19" s="27" t="s">
        <v>104</v>
      </c>
      <c r="F19" s="23"/>
      <c r="G19" s="23" t="s">
        <v>106</v>
      </c>
      <c r="H19" s="140">
        <f>'CCC Summary'!$C$29</f>
        <v>100</v>
      </c>
      <c r="I19" s="140">
        <f>'CCC Summary'!$C$29</f>
        <v>100</v>
      </c>
      <c r="J19" s="140">
        <f>'CCC Summary'!$C$29</f>
        <v>100</v>
      </c>
      <c r="K19" s="140">
        <f>'CCC Summary'!$C$29</f>
        <v>100</v>
      </c>
      <c r="L19" s="140">
        <f>'CCC Summary'!$C$29</f>
        <v>100</v>
      </c>
      <c r="M19" s="140">
        <f>'CCC Summary'!$C$29</f>
        <v>100</v>
      </c>
      <c r="N19" s="140">
        <f>'CCC Summary'!$C$29</f>
        <v>100</v>
      </c>
      <c r="O19" s="140">
        <f>'CCC Summary'!$C$29</f>
        <v>100</v>
      </c>
      <c r="P19" s="140">
        <f>'CCC Summary'!$C$29</f>
        <v>100</v>
      </c>
      <c r="Q19" s="140">
        <f>'CCC Summary'!$C$29</f>
        <v>100</v>
      </c>
      <c r="R19" s="140">
        <f>'CCC Summary'!$C$29</f>
        <v>100</v>
      </c>
      <c r="S19" s="140">
        <f>'CCC Summary'!$C$29</f>
        <v>100</v>
      </c>
      <c r="T19" s="140">
        <f>'CCC Summary'!$C$29</f>
        <v>100</v>
      </c>
      <c r="U19" s="140">
        <f>'CCC Summary'!$C$29</f>
        <v>100</v>
      </c>
      <c r="V19" s="140">
        <f>'CCC Summary'!$C$29</f>
        <v>100</v>
      </c>
      <c r="W19" s="140">
        <f>'CCC Summary'!$C$29</f>
        <v>100</v>
      </c>
      <c r="X19" s="140">
        <f>'CCC Summary'!$C$29</f>
        <v>100</v>
      </c>
      <c r="Y19" s="140">
        <f>'CCC Summary'!$C$29</f>
        <v>100</v>
      </c>
      <c r="Z19" s="140">
        <f>'CCC Summary'!$C$29</f>
        <v>100</v>
      </c>
      <c r="AA19" s="140">
        <f>'CCC Summary'!$C$29</f>
        <v>100</v>
      </c>
      <c r="AB19" s="140">
        <f>'CCC Summary'!$C$29</f>
        <v>100</v>
      </c>
      <c r="AC19" s="140">
        <f>'CCC Summary'!$C$29</f>
        <v>100</v>
      </c>
      <c r="AD19" s="140">
        <f>'CCC Summary'!$C$29</f>
        <v>100</v>
      </c>
      <c r="AE19" s="140">
        <f>'CCC Summary'!$C$29</f>
        <v>100</v>
      </c>
    </row>
    <row r="20" spans="2:31" x14ac:dyDescent="0.35">
      <c r="C20" s="20"/>
      <c r="D20" s="44"/>
      <c r="E20" s="27"/>
      <c r="F20" s="23"/>
      <c r="G20" s="23"/>
      <c r="H20" s="29"/>
      <c r="J20" s="95"/>
      <c r="K20" s="95"/>
      <c r="L20" s="95"/>
      <c r="M20" s="95"/>
      <c r="N20" s="95"/>
      <c r="O20" s="95"/>
      <c r="P20" s="95"/>
      <c r="Q20" s="95"/>
      <c r="R20" s="95"/>
      <c r="S20" s="95"/>
      <c r="T20" s="95"/>
      <c r="U20" s="95"/>
      <c r="V20" s="95"/>
      <c r="W20" s="95"/>
      <c r="X20" s="95"/>
      <c r="Y20" s="95"/>
      <c r="Z20" s="95"/>
      <c r="AA20" s="95"/>
      <c r="AB20" s="95"/>
      <c r="AC20" s="95"/>
      <c r="AD20" s="95"/>
    </row>
    <row r="21" spans="2:31" x14ac:dyDescent="0.35">
      <c r="C21" s="24" t="s">
        <v>109</v>
      </c>
      <c r="D21" s="44"/>
      <c r="E21" s="27"/>
      <c r="F21" s="23"/>
      <c r="G21" s="23"/>
      <c r="H21" s="29"/>
      <c r="J21" s="95"/>
      <c r="K21" s="95"/>
      <c r="L21" s="95"/>
      <c r="M21" s="95"/>
      <c r="N21" s="95"/>
      <c r="O21" s="95"/>
      <c r="P21" s="95"/>
      <c r="Q21" s="95"/>
      <c r="R21" s="95"/>
      <c r="S21" s="95"/>
      <c r="T21" s="95"/>
      <c r="U21" s="95"/>
      <c r="V21" s="95"/>
      <c r="W21" s="95"/>
      <c r="X21" s="95"/>
      <c r="Y21" s="95"/>
      <c r="Z21" s="95"/>
      <c r="AA21" s="95"/>
      <c r="AB21" s="95"/>
      <c r="AC21" s="95"/>
      <c r="AD21" s="95"/>
    </row>
    <row r="22" spans="2:31" x14ac:dyDescent="0.35">
      <c r="C22" s="48" t="s">
        <v>110</v>
      </c>
      <c r="D22" s="128" t="s">
        <v>111</v>
      </c>
      <c r="E22" s="93" t="s">
        <v>75</v>
      </c>
      <c r="F22" s="93" t="s">
        <v>93</v>
      </c>
      <c r="G22" s="40" t="s">
        <v>94</v>
      </c>
      <c r="H22" s="136">
        <v>2027</v>
      </c>
      <c r="I22" s="137">
        <v>2028</v>
      </c>
      <c r="J22" s="137">
        <v>2029</v>
      </c>
      <c r="K22" s="137">
        <v>2030</v>
      </c>
      <c r="L22" s="137">
        <v>2031</v>
      </c>
      <c r="M22" s="137">
        <v>2032</v>
      </c>
      <c r="N22" s="137">
        <v>2033</v>
      </c>
      <c r="O22" s="137">
        <v>2034</v>
      </c>
      <c r="P22" s="137">
        <v>2035</v>
      </c>
      <c r="Q22" s="136">
        <v>2036</v>
      </c>
      <c r="R22" s="136">
        <v>2037</v>
      </c>
      <c r="S22" s="137">
        <v>2038</v>
      </c>
      <c r="T22" s="137">
        <v>2039</v>
      </c>
      <c r="U22" s="137">
        <v>2040</v>
      </c>
      <c r="V22" s="137">
        <v>2041</v>
      </c>
      <c r="W22" s="137">
        <v>2042</v>
      </c>
      <c r="X22" s="137">
        <v>2043</v>
      </c>
      <c r="Y22" s="137">
        <v>2044</v>
      </c>
      <c r="Z22" s="137">
        <v>2045</v>
      </c>
      <c r="AA22" s="136">
        <v>2046</v>
      </c>
      <c r="AB22" s="136">
        <v>2047</v>
      </c>
      <c r="AC22" s="137">
        <v>2048</v>
      </c>
      <c r="AD22" s="137">
        <v>2049</v>
      </c>
      <c r="AE22" s="137">
        <v>2050</v>
      </c>
    </row>
    <row r="23" spans="2:31" x14ac:dyDescent="0.35">
      <c r="B23" s="99" t="s">
        <v>14</v>
      </c>
      <c r="C23" s="20" t="s">
        <v>112</v>
      </c>
      <c r="D23" s="131" t="s">
        <v>14</v>
      </c>
      <c r="E23" s="27" t="s">
        <v>104</v>
      </c>
      <c r="F23" s="49"/>
      <c r="G23" s="23" t="s">
        <v>98</v>
      </c>
      <c r="H23" s="38">
        <f>INDEX($C$4:$O$8,MATCH($D$8,$C$4:$C$8,0),MATCH($D23,$C$4:$O$4,0))</f>
        <v>94.311786567164205</v>
      </c>
      <c r="I23" s="38">
        <f t="shared" ref="I23:AE23" si="3">INDEX($C$4:$O$8,MATCH($D$8,$C$4:$C$8,0),MATCH($D23,$C$4:$O$4,0))</f>
        <v>94.311786567164205</v>
      </c>
      <c r="J23" s="38">
        <f t="shared" si="3"/>
        <v>94.311786567164205</v>
      </c>
      <c r="K23" s="38">
        <f t="shared" si="3"/>
        <v>94.311786567164205</v>
      </c>
      <c r="L23" s="38">
        <f t="shared" si="3"/>
        <v>94.311786567164205</v>
      </c>
      <c r="M23" s="38">
        <f t="shared" si="3"/>
        <v>94.311786567164205</v>
      </c>
      <c r="N23" s="38">
        <f t="shared" si="3"/>
        <v>94.311786567164205</v>
      </c>
      <c r="O23" s="38">
        <f t="shared" si="3"/>
        <v>94.311786567164205</v>
      </c>
      <c r="P23" s="38">
        <f t="shared" si="3"/>
        <v>94.311786567164205</v>
      </c>
      <c r="Q23" s="38">
        <f t="shared" si="3"/>
        <v>94.311786567164205</v>
      </c>
      <c r="R23" s="38">
        <f t="shared" si="3"/>
        <v>94.311786567164205</v>
      </c>
      <c r="S23" s="38">
        <f t="shared" si="3"/>
        <v>94.311786567164205</v>
      </c>
      <c r="T23" s="38">
        <f t="shared" si="3"/>
        <v>94.311786567164205</v>
      </c>
      <c r="U23" s="38">
        <f t="shared" si="3"/>
        <v>94.311786567164205</v>
      </c>
      <c r="V23" s="38">
        <f t="shared" si="3"/>
        <v>94.311786567164205</v>
      </c>
      <c r="W23" s="38">
        <f t="shared" si="3"/>
        <v>94.311786567164205</v>
      </c>
      <c r="X23" s="38">
        <f t="shared" si="3"/>
        <v>94.311786567164205</v>
      </c>
      <c r="Y23" s="38">
        <f t="shared" si="3"/>
        <v>94.311786567164205</v>
      </c>
      <c r="Z23" s="38">
        <f t="shared" si="3"/>
        <v>94.311786567164205</v>
      </c>
      <c r="AA23" s="38">
        <f t="shared" si="3"/>
        <v>94.311786567164205</v>
      </c>
      <c r="AB23" s="38">
        <f t="shared" si="3"/>
        <v>94.311786567164205</v>
      </c>
      <c r="AC23" s="38">
        <f t="shared" si="3"/>
        <v>94.311786567164205</v>
      </c>
      <c r="AD23" s="38">
        <f t="shared" si="3"/>
        <v>94.311786567164205</v>
      </c>
      <c r="AE23" s="38">
        <f t="shared" si="3"/>
        <v>94.311786567164205</v>
      </c>
    </row>
    <row r="24" spans="2:31" x14ac:dyDescent="0.35">
      <c r="B24" s="99"/>
      <c r="C24" s="20" t="s">
        <v>113</v>
      </c>
      <c r="D24" s="44"/>
      <c r="E24" s="27" t="s">
        <v>114</v>
      </c>
      <c r="F24" s="23" t="s">
        <v>115</v>
      </c>
      <c r="G24" s="23" t="s">
        <v>116</v>
      </c>
      <c r="H24" s="38">
        <f>H23/1000</f>
        <v>9.4311786567164199E-2</v>
      </c>
      <c r="I24" s="38">
        <f t="shared" ref="I24:AE24" si="4">I23/1000</f>
        <v>9.4311786567164199E-2</v>
      </c>
      <c r="J24" s="38">
        <f t="shared" si="4"/>
        <v>9.4311786567164199E-2</v>
      </c>
      <c r="K24" s="38">
        <f t="shared" si="4"/>
        <v>9.4311786567164199E-2</v>
      </c>
      <c r="L24" s="38">
        <f t="shared" si="4"/>
        <v>9.4311786567164199E-2</v>
      </c>
      <c r="M24" s="38">
        <f t="shared" si="4"/>
        <v>9.4311786567164199E-2</v>
      </c>
      <c r="N24" s="38">
        <f t="shared" si="4"/>
        <v>9.4311786567164199E-2</v>
      </c>
      <c r="O24" s="38">
        <f t="shared" si="4"/>
        <v>9.4311786567164199E-2</v>
      </c>
      <c r="P24" s="38">
        <f t="shared" si="4"/>
        <v>9.4311786567164199E-2</v>
      </c>
      <c r="Q24" s="38">
        <f t="shared" si="4"/>
        <v>9.4311786567164199E-2</v>
      </c>
      <c r="R24" s="38">
        <f t="shared" si="4"/>
        <v>9.4311786567164199E-2</v>
      </c>
      <c r="S24" s="38">
        <f t="shared" si="4"/>
        <v>9.4311786567164199E-2</v>
      </c>
      <c r="T24" s="38">
        <f t="shared" si="4"/>
        <v>9.4311786567164199E-2</v>
      </c>
      <c r="U24" s="38">
        <f t="shared" si="4"/>
        <v>9.4311786567164199E-2</v>
      </c>
      <c r="V24" s="38">
        <f t="shared" si="4"/>
        <v>9.4311786567164199E-2</v>
      </c>
      <c r="W24" s="38">
        <f t="shared" si="4"/>
        <v>9.4311786567164199E-2</v>
      </c>
      <c r="X24" s="38">
        <f t="shared" si="4"/>
        <v>9.4311786567164199E-2</v>
      </c>
      <c r="Y24" s="38">
        <f t="shared" si="4"/>
        <v>9.4311786567164199E-2</v>
      </c>
      <c r="Z24" s="38">
        <f t="shared" si="4"/>
        <v>9.4311786567164199E-2</v>
      </c>
      <c r="AA24" s="38">
        <f t="shared" si="4"/>
        <v>9.4311786567164199E-2</v>
      </c>
      <c r="AB24" s="38">
        <f t="shared" si="4"/>
        <v>9.4311786567164199E-2</v>
      </c>
      <c r="AC24" s="38">
        <f t="shared" si="4"/>
        <v>9.4311786567164199E-2</v>
      </c>
      <c r="AD24" s="38">
        <f t="shared" si="4"/>
        <v>9.4311786567164199E-2</v>
      </c>
      <c r="AE24" s="38">
        <f t="shared" si="4"/>
        <v>9.4311786567164199E-2</v>
      </c>
    </row>
    <row r="25" spans="2:31" ht="15.65" customHeight="1" x14ac:dyDescent="0.35">
      <c r="B25" s="99"/>
      <c r="C25" s="20" t="s">
        <v>272</v>
      </c>
      <c r="D25" s="44"/>
      <c r="E25" s="27" t="s">
        <v>274</v>
      </c>
      <c r="F25" s="23" t="s">
        <v>117</v>
      </c>
      <c r="G25" s="23" t="s">
        <v>118</v>
      </c>
      <c r="H25" s="38">
        <f>(H23-H$14)*Data!$F$7</f>
        <v>0.11515469139850878</v>
      </c>
      <c r="I25" s="38">
        <f>(I23-I$14)*Data!$F$7</f>
        <v>0.24950183136343365</v>
      </c>
      <c r="J25" s="38">
        <f>(J23-J$14)*Data!$F$7</f>
        <v>0.32627162562910561</v>
      </c>
      <c r="K25" s="38">
        <f>(K23-K$14)*Data!$F$7</f>
        <v>0.46061876559403109</v>
      </c>
      <c r="L25" s="38">
        <f>(L23-L$14)*Data!$F$7</f>
        <v>0.65254325125821</v>
      </c>
      <c r="M25" s="38">
        <f>(M23-M$14)*Data!$F$7</f>
        <v>0.86366018548880685</v>
      </c>
      <c r="N25" s="38">
        <f>(N23-N$14)*Data!$F$7</f>
        <v>1.0747771197194043</v>
      </c>
      <c r="O25" s="38">
        <f>(O23-O$14)*Data!$F$7</f>
        <v>1.285894053950001</v>
      </c>
      <c r="P25" s="38">
        <f>(P23-P$14)*Data!$F$7</f>
        <v>1.4778185396141803</v>
      </c>
      <c r="Q25" s="38">
        <f>(Q23-Q$14)*Data!$F$7</f>
        <v>1.7004509429846282</v>
      </c>
      <c r="R25" s="38">
        <f>(R23-R$14)*Data!$F$7</f>
        <v>1.9230833463550756</v>
      </c>
      <c r="S25" s="38">
        <f>(S23-S$14)*Data!$F$7</f>
        <v>2.1457157497255235</v>
      </c>
      <c r="T25" s="38">
        <f>(T23-T$14)*Data!$F$7</f>
        <v>2.3683481530959716</v>
      </c>
      <c r="U25" s="38">
        <f>(U23-U$14)*Data!$F$7</f>
        <v>2.5909805564664192</v>
      </c>
      <c r="V25" s="38">
        <f>(V23-V$14)*Data!$F$7</f>
        <v>2.7099737375782098</v>
      </c>
      <c r="W25" s="38">
        <f>(W23-W$14)*Data!$F$7</f>
        <v>2.8289669186900017</v>
      </c>
      <c r="X25" s="38">
        <f>(X23-X$14)*Data!$F$7</f>
        <v>2.9479600998017927</v>
      </c>
      <c r="Y25" s="38">
        <f>(Y23-Y$14)*Data!$F$7</f>
        <v>3.0669532809135838</v>
      </c>
      <c r="Z25" s="38">
        <f>(Z23-Z$14)*Data!$F$7</f>
        <v>3.1859464620253743</v>
      </c>
      <c r="AA25" s="38">
        <f>(AA23-AA$14)*Data!$F$7</f>
        <v>3.3011011534238812</v>
      </c>
      <c r="AB25" s="38">
        <f>(AB23-AB$14)*Data!$F$7</f>
        <v>3.4162558448223894</v>
      </c>
      <c r="AC25" s="38">
        <f>(AC23-AC$14)*Data!$F$7</f>
        <v>3.5314105362208967</v>
      </c>
      <c r="AD25" s="38">
        <f>(AD23-AD$14)*Data!$F$7</f>
        <v>3.646565227619404</v>
      </c>
      <c r="AE25" s="38">
        <f>(AE23-AE$14)*Data!$F$7</f>
        <v>3.7617199190179114</v>
      </c>
    </row>
    <row r="26" spans="2:31" ht="15.65" customHeight="1" x14ac:dyDescent="0.35">
      <c r="B26" s="99"/>
      <c r="C26" s="20" t="s">
        <v>273</v>
      </c>
      <c r="D26" s="130" t="str">
        <f>IF('CCC Summary'!$C$17="Two-tier","Striving "&amp;'CCC Summary'!$C$21,"No Tier 2")</f>
        <v>Striving Yearly</v>
      </c>
      <c r="E26" s="27" t="s">
        <v>275</v>
      </c>
      <c r="F26" s="23" t="s">
        <v>276</v>
      </c>
      <c r="G26" s="23" t="s">
        <v>118</v>
      </c>
      <c r="H26" s="38">
        <f>MAX(0, (H23-H$15)*Data!$F$7-H25)</f>
        <v>0.17273203709776111</v>
      </c>
      <c r="I26" s="38">
        <f>MAX(0, (I23-I$15)*Data!$F$7-I25)</f>
        <v>0.2495018313634331</v>
      </c>
      <c r="J26" s="38">
        <f>MAX(0, (J23-J$15)*Data!$F$7-J25)</f>
        <v>0.42223386846119426</v>
      </c>
      <c r="K26" s="38">
        <f>MAX(0, (K23-K$15)*Data!$F$7-K25)</f>
        <v>0.47981121416044775</v>
      </c>
      <c r="L26" s="38">
        <f>MAX(0, (L23-L$15)*Data!$F$7-L25)</f>
        <v>0.49900366272686558</v>
      </c>
      <c r="M26" s="38">
        <f>MAX(0, (M23-M$15)*Data!$F$7-M25)</f>
        <v>0.49900366272686592</v>
      </c>
      <c r="N26" s="38">
        <f>MAX(0, (N23-N$15)*Data!$F$7-N25)</f>
        <v>0.49900366272686525</v>
      </c>
      <c r="O26" s="38">
        <f>MAX(0, (O23-O$15)*Data!$F$7-O25)</f>
        <v>0.47981121416044781</v>
      </c>
      <c r="P26" s="38">
        <f>MAX(0, (P23-P$15)*Data!$F$7-P25)</f>
        <v>0.49900366272686569</v>
      </c>
      <c r="Q26" s="38">
        <f>MAX(0, (Q23-Q$15)*Data!$F$7-Q25)</f>
        <v>0.48364970387373152</v>
      </c>
      <c r="R26" s="38">
        <f>MAX(0, (R23-R$15)*Data!$F$7-R25)</f>
        <v>0.46829574502059779</v>
      </c>
      <c r="S26" s="38">
        <f>MAX(0, (S23-S$15)*Data!$F$7-S25)</f>
        <v>0.45294178616746361</v>
      </c>
      <c r="T26" s="38">
        <f>MAX(0, (T23-T$15)*Data!$F$7-T25)</f>
        <v>0.43758782731432877</v>
      </c>
      <c r="U26" s="38">
        <f>MAX(0, (U23-U$15)*Data!$F$7-U25)</f>
        <v>0.42223386846119393</v>
      </c>
      <c r="V26" s="38">
        <f>MAX(0, (V23-V$15)*Data!$F$7-V25)</f>
        <v>0.3838489713283586</v>
      </c>
      <c r="W26" s="38">
        <f>MAX(0, (W23-W$15)*Data!$F$7-W25)</f>
        <v>0.34546407419552239</v>
      </c>
      <c r="X26" s="38">
        <f>MAX(0, (X23-X$15)*Data!$F$7-X25)</f>
        <v>0.30707917706268617</v>
      </c>
      <c r="Y26" s="38">
        <f>MAX(0, (Y23-Y$15)*Data!$F$7-Y25)</f>
        <v>0.2686942799298504</v>
      </c>
      <c r="Z26" s="38">
        <f>MAX(0, (Z23-Z$15)*Data!$F$7-Z25)</f>
        <v>0.23030938279701507</v>
      </c>
      <c r="AA26" s="38">
        <f>MAX(0, (AA23-AA$15)*Data!$F$7-AA25)</f>
        <v>0.18424750623761277</v>
      </c>
      <c r="AB26" s="38">
        <f>MAX(0, (AB23-AB$15)*Data!$F$7-AB25)</f>
        <v>0.13818562967820913</v>
      </c>
      <c r="AC26" s="38">
        <f>MAX(0, (AC23-AC$15)*Data!$F$7-AC25)</f>
        <v>9.212375311880594E-2</v>
      </c>
      <c r="AD26" s="38">
        <f>MAX(0, (AD23-AD$15)*Data!$F$7-AD25)</f>
        <v>4.6061876559403192E-2</v>
      </c>
      <c r="AE26" s="38">
        <f>MAX(0, (AE23-AE$15)*Data!$F$7-AE25)</f>
        <v>0</v>
      </c>
    </row>
    <row r="27" spans="2:31" x14ac:dyDescent="0.35">
      <c r="B27" s="99"/>
      <c r="C27" s="20" t="s">
        <v>119</v>
      </c>
      <c r="D27" s="131" t="str">
        <f>'CCC Summary'!$C$41</f>
        <v>MMM LSFO</v>
      </c>
      <c r="E27" s="27" t="s">
        <v>104</v>
      </c>
      <c r="F27" s="23" t="str">
        <f>IF('CCC Summary'!$C$41="Yes",'CCC Summary'!$D$41,"")</f>
        <v/>
      </c>
      <c r="G27" s="23" t="s">
        <v>120</v>
      </c>
      <c r="H27" s="139">
        <f>IF($D$27="Enter fixed price",'CCC Summary'!$C$42/(Data!$F$7*1000),INDEX(Data!$B$31:$AB$40,MATCH($D$27,Data!$B$31:$B$40,0),MATCH(H$13,Data!$B$31:$AB$31,0)))</f>
        <v>14.6337378640777</v>
      </c>
      <c r="I27" s="139">
        <f>IF($D$27="Enter fixed price",'CCC Summary'!$C$42/(Data!$F$7*1000),INDEX(Data!$B$31:$AB$40,MATCH($D$27,Data!$B$31:$B$40,0),MATCH(I$13,Data!$B$31:$AB$31,0)))</f>
        <v>14.241262135922296</v>
      </c>
      <c r="J27" s="139">
        <f>IF($D$27="Enter fixed price",'CCC Summary'!$C$42/(Data!$F$7*1000),INDEX(Data!$B$31:$AB$40,MATCH($D$27,Data!$B$31:$B$40,0),MATCH(J$13,Data!$B$31:$AB$31,0)))</f>
        <v>13.848786407766889</v>
      </c>
      <c r="K27" s="139">
        <f>IF($D$27="Enter fixed price",'CCC Summary'!$C$42/(Data!$F$7*1000),INDEX(Data!$B$31:$AB$40,MATCH($D$27,Data!$B$31:$B$40,0),MATCH(K$13,Data!$B$31:$AB$31,0)))</f>
        <v>13.456310679611649</v>
      </c>
      <c r="L27" s="139">
        <f>IF($D$27="Enter fixed price",'CCC Summary'!$C$42/(Data!$F$7*1000),INDEX(Data!$B$31:$AB$40,MATCH($D$27,Data!$B$31:$B$40,0),MATCH(L$13,Data!$B$31:$AB$31,0)))</f>
        <v>13.456310679611649</v>
      </c>
      <c r="M27" s="139">
        <f>IF($D$27="Enter fixed price",'CCC Summary'!$C$42/(Data!$F$7*1000),INDEX(Data!$B$31:$AB$40,MATCH($D$27,Data!$B$31:$B$40,0),MATCH(M$13,Data!$B$31:$AB$31,0)))</f>
        <v>13.456310679611649</v>
      </c>
      <c r="N27" s="139">
        <f>IF($D$27="Enter fixed price",'CCC Summary'!$C$42/(Data!$F$7*1000),INDEX(Data!$B$31:$AB$40,MATCH($D$27,Data!$B$31:$B$40,0),MATCH(N$13,Data!$B$31:$AB$31,0)))</f>
        <v>13.456310679611649</v>
      </c>
      <c r="O27" s="139">
        <f>IF($D$27="Enter fixed price",'CCC Summary'!$C$42/(Data!$F$7*1000),INDEX(Data!$B$31:$AB$40,MATCH($D$27,Data!$B$31:$B$40,0),MATCH(O$13,Data!$B$31:$AB$31,0)))</f>
        <v>13.456310679611649</v>
      </c>
      <c r="P27" s="139">
        <f>IF($D$27="Enter fixed price",'CCC Summary'!$C$42/(Data!$F$7*1000),INDEX(Data!$B$31:$AB$40,MATCH($D$27,Data!$B$31:$B$40,0),MATCH(P$13,Data!$B$31:$AB$31,0)))</f>
        <v>13.456310679611649</v>
      </c>
      <c r="Q27" s="139">
        <f>IF($D$27="Enter fixed price",'CCC Summary'!$C$42/(Data!$F$7*1000),INDEX(Data!$B$31:$AB$40,MATCH($D$27,Data!$B$31:$B$40,0),MATCH(Q$13,Data!$B$31:$AB$31,0)))</f>
        <v>13.456310679611649</v>
      </c>
      <c r="R27" s="139">
        <f>IF($D$27="Enter fixed price",'CCC Summary'!$C$42/(Data!$F$7*1000),INDEX(Data!$B$31:$AB$40,MATCH($D$27,Data!$B$31:$B$40,0),MATCH(R$13,Data!$B$31:$AB$31,0)))</f>
        <v>13.456310679611649</v>
      </c>
      <c r="S27" s="139">
        <f>IF($D$27="Enter fixed price",'CCC Summary'!$C$42/(Data!$F$7*1000),INDEX(Data!$B$31:$AB$40,MATCH($D$27,Data!$B$31:$B$40,0),MATCH(S$13,Data!$B$31:$AB$31,0)))</f>
        <v>13.456310679611649</v>
      </c>
      <c r="T27" s="139">
        <f>IF($D$27="Enter fixed price",'CCC Summary'!$C$42/(Data!$F$7*1000),INDEX(Data!$B$31:$AB$40,MATCH($D$27,Data!$B$31:$B$40,0),MATCH(T$13,Data!$B$31:$AB$31,0)))</f>
        <v>13.456310679611649</v>
      </c>
      <c r="U27" s="139">
        <f>IF($D$27="Enter fixed price",'CCC Summary'!$C$42/(Data!$F$7*1000),INDEX(Data!$B$31:$AB$40,MATCH($D$27,Data!$B$31:$B$40,0),MATCH(U$13,Data!$B$31:$AB$31,0)))</f>
        <v>13.456310679611649</v>
      </c>
      <c r="V27" s="139">
        <f>IF($D$27="Enter fixed price",'CCC Summary'!$C$42/(Data!$F$7*1000),INDEX(Data!$B$31:$AB$40,MATCH($D$27,Data!$B$31:$B$40,0),MATCH(V$13,Data!$B$31:$AB$31,0)))</f>
        <v>13.456310679611649</v>
      </c>
      <c r="W27" s="139">
        <f>IF($D$27="Enter fixed price",'CCC Summary'!$C$42/(Data!$F$7*1000),INDEX(Data!$B$31:$AB$40,MATCH($D$27,Data!$B$31:$B$40,0),MATCH(W$13,Data!$B$31:$AB$31,0)))</f>
        <v>13.456310679611649</v>
      </c>
      <c r="X27" s="139">
        <f>IF($D$27="Enter fixed price",'CCC Summary'!$C$42/(Data!$F$7*1000),INDEX(Data!$B$31:$AB$40,MATCH($D$27,Data!$B$31:$B$40,0),MATCH(X$13,Data!$B$31:$AB$31,0)))</f>
        <v>13.456310679611649</v>
      </c>
      <c r="Y27" s="139">
        <f>IF($D$27="Enter fixed price",'CCC Summary'!$C$42/(Data!$F$7*1000),INDEX(Data!$B$31:$AB$40,MATCH($D$27,Data!$B$31:$B$40,0),MATCH(Y$13,Data!$B$31:$AB$31,0)))</f>
        <v>13.456310679611649</v>
      </c>
      <c r="Z27" s="139">
        <f>IF($D$27="Enter fixed price",'CCC Summary'!$C$42/(Data!$F$7*1000),INDEX(Data!$B$31:$AB$40,MATCH($D$27,Data!$B$31:$B$40,0),MATCH(Z$13,Data!$B$31:$AB$31,0)))</f>
        <v>13.456310679611649</v>
      </c>
      <c r="AA27" s="139">
        <f>IF($D$27="Enter fixed price",'CCC Summary'!$C$42/(Data!$F$7*1000),INDEX(Data!$B$31:$AB$40,MATCH($D$27,Data!$B$31:$B$40,0),MATCH(AA$13,Data!$B$31:$AB$31,0)))</f>
        <v>13.456310679611649</v>
      </c>
      <c r="AB27" s="139">
        <f>IF($D$27="Enter fixed price",'CCC Summary'!$C$42/(Data!$F$7*1000),INDEX(Data!$B$31:$AB$40,MATCH($D$27,Data!$B$31:$B$40,0),MATCH(AB$13,Data!$B$31:$AB$31,0)))</f>
        <v>13.456310679611649</v>
      </c>
      <c r="AC27" s="139">
        <f>IF($D$27="Enter fixed price",'CCC Summary'!$C$42/(Data!$F$7*1000),INDEX(Data!$B$31:$AB$40,MATCH($D$27,Data!$B$31:$B$40,0),MATCH(AC$13,Data!$B$31:$AB$31,0)))</f>
        <v>13.456310679611649</v>
      </c>
      <c r="AD27" s="139">
        <f>IF($D$27="Enter fixed price",'CCC Summary'!$C$42/(Data!$F$7*1000),INDEX(Data!$B$31:$AB$40,MATCH($D$27,Data!$B$31:$B$40,0),MATCH(AD$13,Data!$B$31:$AB$31,0)))</f>
        <v>13.456310679611649</v>
      </c>
      <c r="AE27" s="139">
        <f>IF($D$27="Enter fixed price",'CCC Summary'!$C$42/(Data!$F$7*1000),INDEX(Data!$B$31:$AB$40,MATCH($D$27,Data!$B$31:$B$40,0),MATCH(AE$13,Data!$B$31:$AB$31,0)))</f>
        <v>13.456310679611649</v>
      </c>
    </row>
    <row r="28" spans="2:31" x14ac:dyDescent="0.35">
      <c r="B28" s="99"/>
      <c r="C28" s="100" t="s">
        <v>121</v>
      </c>
      <c r="D28" s="132"/>
      <c r="E28" s="27" t="s">
        <v>122</v>
      </c>
      <c r="F28" s="23" t="s">
        <v>123</v>
      </c>
      <c r="G28" s="23" t="s">
        <v>124</v>
      </c>
      <c r="H28" s="38">
        <f>H25*H$18</f>
        <v>69.092814839105273</v>
      </c>
      <c r="I28" s="38">
        <f t="shared" ref="I28:AE28" si="5">I25*I$18</f>
        <v>149.70109881806019</v>
      </c>
      <c r="J28" s="38">
        <f t="shared" si="5"/>
        <v>195.76297537746336</v>
      </c>
      <c r="K28" s="38">
        <f t="shared" si="5"/>
        <v>276.37125935641865</v>
      </c>
      <c r="L28" s="38">
        <f t="shared" si="5"/>
        <v>391.52595075492599</v>
      </c>
      <c r="M28" s="38">
        <f t="shared" si="5"/>
        <v>518.19611129328416</v>
      </c>
      <c r="N28" s="38">
        <f t="shared" si="5"/>
        <v>644.86627183164251</v>
      </c>
      <c r="O28" s="38">
        <f t="shared" si="5"/>
        <v>771.53643237000063</v>
      </c>
      <c r="P28" s="38">
        <f t="shared" si="5"/>
        <v>886.69112376850819</v>
      </c>
      <c r="Q28" s="38">
        <f t="shared" si="5"/>
        <v>1020.2705657907769</v>
      </c>
      <c r="R28" s="38">
        <f t="shared" si="5"/>
        <v>1153.8500078130453</v>
      </c>
      <c r="S28" s="38">
        <f t="shared" si="5"/>
        <v>1287.429449835314</v>
      </c>
      <c r="T28" s="38">
        <f t="shared" si="5"/>
        <v>1421.008891857583</v>
      </c>
      <c r="U28" s="38">
        <f t="shared" si="5"/>
        <v>1554.5883338798515</v>
      </c>
      <c r="V28" s="38">
        <f t="shared" si="5"/>
        <v>1625.984242546926</v>
      </c>
      <c r="W28" s="38">
        <f t="shared" si="5"/>
        <v>1697.380151214001</v>
      </c>
      <c r="X28" s="38">
        <f t="shared" si="5"/>
        <v>1768.7760598810758</v>
      </c>
      <c r="Y28" s="38">
        <f t="shared" si="5"/>
        <v>1840.1719685481503</v>
      </c>
      <c r="Z28" s="38">
        <f t="shared" si="5"/>
        <v>1911.5678772152246</v>
      </c>
      <c r="AA28" s="38">
        <f t="shared" si="5"/>
        <v>1980.6606920543288</v>
      </c>
      <c r="AB28" s="38">
        <f t="shared" si="5"/>
        <v>2049.7535068934335</v>
      </c>
      <c r="AC28" s="38">
        <f t="shared" si="5"/>
        <v>2118.8463217325379</v>
      </c>
      <c r="AD28" s="38">
        <f t="shared" si="5"/>
        <v>2187.9391365716424</v>
      </c>
      <c r="AE28" s="38">
        <f t="shared" si="5"/>
        <v>2257.0319514107468</v>
      </c>
    </row>
    <row r="29" spans="2:31" x14ac:dyDescent="0.35">
      <c r="B29" s="99"/>
      <c r="C29" s="101" t="s">
        <v>264</v>
      </c>
      <c r="D29" s="133"/>
      <c r="E29" s="102" t="s">
        <v>122</v>
      </c>
      <c r="F29" s="31" t="s">
        <v>123</v>
      </c>
      <c r="G29" s="31" t="s">
        <v>124</v>
      </c>
      <c r="H29" s="141">
        <f>H26*H$19</f>
        <v>17.273203709776112</v>
      </c>
      <c r="I29" s="141">
        <f t="shared" ref="I29:AE29" si="6">I26*I$19</f>
        <v>24.950183136343309</v>
      </c>
      <c r="J29" s="141">
        <f t="shared" si="6"/>
        <v>42.223386846119425</v>
      </c>
      <c r="K29" s="141">
        <f t="shared" si="6"/>
        <v>47.981121416044772</v>
      </c>
      <c r="L29" s="141">
        <f t="shared" si="6"/>
        <v>49.900366272686561</v>
      </c>
      <c r="M29" s="141">
        <f t="shared" si="6"/>
        <v>49.90036627268659</v>
      </c>
      <c r="N29" s="141">
        <f t="shared" si="6"/>
        <v>49.900366272686526</v>
      </c>
      <c r="O29" s="141">
        <f t="shared" si="6"/>
        <v>47.981121416044779</v>
      </c>
      <c r="P29" s="141">
        <f t="shared" si="6"/>
        <v>49.900366272686568</v>
      </c>
      <c r="Q29" s="141">
        <f t="shared" si="6"/>
        <v>48.364970387373148</v>
      </c>
      <c r="R29" s="141">
        <f t="shared" si="6"/>
        <v>46.829574502059778</v>
      </c>
      <c r="S29" s="141">
        <f t="shared" si="6"/>
        <v>45.294178616746365</v>
      </c>
      <c r="T29" s="141">
        <f t="shared" si="6"/>
        <v>43.758782731432873</v>
      </c>
      <c r="U29" s="141">
        <f t="shared" si="6"/>
        <v>42.223386846119396</v>
      </c>
      <c r="V29" s="141">
        <f t="shared" si="6"/>
        <v>38.38489713283586</v>
      </c>
      <c r="W29" s="141">
        <f t="shared" si="6"/>
        <v>34.546407419552239</v>
      </c>
      <c r="X29" s="141">
        <f t="shared" si="6"/>
        <v>30.707917706268617</v>
      </c>
      <c r="Y29" s="141">
        <f t="shared" si="6"/>
        <v>26.869427992985038</v>
      </c>
      <c r="Z29" s="141">
        <f t="shared" si="6"/>
        <v>23.030938279701509</v>
      </c>
      <c r="AA29" s="141">
        <f t="shared" si="6"/>
        <v>18.424750623761277</v>
      </c>
      <c r="AB29" s="141">
        <f t="shared" si="6"/>
        <v>13.818562967820913</v>
      </c>
      <c r="AC29" s="141">
        <f t="shared" si="6"/>
        <v>9.212375311880594</v>
      </c>
      <c r="AD29" s="141">
        <f t="shared" si="6"/>
        <v>4.6061876559403192</v>
      </c>
      <c r="AE29" s="141">
        <f t="shared" si="6"/>
        <v>0</v>
      </c>
    </row>
    <row r="30" spans="2:31" x14ac:dyDescent="0.35">
      <c r="B30" s="99" t="s">
        <v>125</v>
      </c>
      <c r="C30" s="20" t="s">
        <v>126</v>
      </c>
      <c r="D30" s="134" t="str">
        <f>'CCC Summary'!$C$50</f>
        <v>Diesel dual fuel (HP)</v>
      </c>
      <c r="E30" s="27" t="s">
        <v>104</v>
      </c>
      <c r="F30" s="49"/>
      <c r="G30" s="23" t="s">
        <v>98</v>
      </c>
      <c r="H30" s="139">
        <f>INDEX($C$4:$O$8,MATCH($D$8,$C$4:$C$8,0),MATCH($D30,$C$4:$O$4,0))</f>
        <v>76.129158859470465</v>
      </c>
      <c r="I30" s="139">
        <f t="shared" ref="I30:AE30" si="7">INDEX($C$4:$O$8,MATCH($D$8,$C$4:$C$8,0),MATCH($D30,$C$4:$O$4,0))</f>
        <v>76.129158859470465</v>
      </c>
      <c r="J30" s="139">
        <f t="shared" si="7"/>
        <v>76.129158859470465</v>
      </c>
      <c r="K30" s="139">
        <f t="shared" si="7"/>
        <v>76.129158859470465</v>
      </c>
      <c r="L30" s="139">
        <f t="shared" si="7"/>
        <v>76.129158859470465</v>
      </c>
      <c r="M30" s="139">
        <f t="shared" si="7"/>
        <v>76.129158859470465</v>
      </c>
      <c r="N30" s="139">
        <f t="shared" si="7"/>
        <v>76.129158859470465</v>
      </c>
      <c r="O30" s="139">
        <f t="shared" si="7"/>
        <v>76.129158859470465</v>
      </c>
      <c r="P30" s="139">
        <f t="shared" si="7"/>
        <v>76.129158859470465</v>
      </c>
      <c r="Q30" s="139">
        <f t="shared" si="7"/>
        <v>76.129158859470465</v>
      </c>
      <c r="R30" s="139">
        <f t="shared" si="7"/>
        <v>76.129158859470465</v>
      </c>
      <c r="S30" s="139">
        <f t="shared" si="7"/>
        <v>76.129158859470465</v>
      </c>
      <c r="T30" s="139">
        <f t="shared" si="7"/>
        <v>76.129158859470465</v>
      </c>
      <c r="U30" s="139">
        <f t="shared" si="7"/>
        <v>76.129158859470465</v>
      </c>
      <c r="V30" s="139">
        <f t="shared" si="7"/>
        <v>76.129158859470465</v>
      </c>
      <c r="W30" s="139">
        <f t="shared" si="7"/>
        <v>76.129158859470465</v>
      </c>
      <c r="X30" s="139">
        <f t="shared" si="7"/>
        <v>76.129158859470465</v>
      </c>
      <c r="Y30" s="139">
        <f t="shared" si="7"/>
        <v>76.129158859470465</v>
      </c>
      <c r="Z30" s="139">
        <f t="shared" si="7"/>
        <v>76.129158859470465</v>
      </c>
      <c r="AA30" s="139">
        <f t="shared" si="7"/>
        <v>76.129158859470465</v>
      </c>
      <c r="AB30" s="139">
        <f t="shared" si="7"/>
        <v>76.129158859470465</v>
      </c>
      <c r="AC30" s="139">
        <f t="shared" si="7"/>
        <v>76.129158859470465</v>
      </c>
      <c r="AD30" s="139">
        <f t="shared" si="7"/>
        <v>76.129158859470465</v>
      </c>
      <c r="AE30" s="139">
        <f t="shared" si="7"/>
        <v>76.129158859470465</v>
      </c>
    </row>
    <row r="31" spans="2:31" x14ac:dyDescent="0.35">
      <c r="B31" s="99"/>
      <c r="C31" s="20" t="s">
        <v>127</v>
      </c>
      <c r="D31" s="44"/>
      <c r="E31" s="27" t="s">
        <v>114</v>
      </c>
      <c r="F31" s="23" t="s">
        <v>115</v>
      </c>
      <c r="G31" s="23" t="s">
        <v>116</v>
      </c>
      <c r="H31" s="38">
        <f>H30/1000</f>
        <v>7.6129158859470469E-2</v>
      </c>
      <c r="I31" s="38">
        <f t="shared" ref="I31:AE31" si="8">I30/1000</f>
        <v>7.6129158859470469E-2</v>
      </c>
      <c r="J31" s="38">
        <f t="shared" si="8"/>
        <v>7.6129158859470469E-2</v>
      </c>
      <c r="K31" s="38">
        <f t="shared" si="8"/>
        <v>7.6129158859470469E-2</v>
      </c>
      <c r="L31" s="38">
        <f t="shared" si="8"/>
        <v>7.6129158859470469E-2</v>
      </c>
      <c r="M31" s="38">
        <f t="shared" si="8"/>
        <v>7.6129158859470469E-2</v>
      </c>
      <c r="N31" s="38">
        <f t="shared" si="8"/>
        <v>7.6129158859470469E-2</v>
      </c>
      <c r="O31" s="38">
        <f t="shared" si="8"/>
        <v>7.6129158859470469E-2</v>
      </c>
      <c r="P31" s="38">
        <f t="shared" si="8"/>
        <v>7.6129158859470469E-2</v>
      </c>
      <c r="Q31" s="38">
        <f t="shared" si="8"/>
        <v>7.6129158859470469E-2</v>
      </c>
      <c r="R31" s="38">
        <f t="shared" si="8"/>
        <v>7.6129158859470469E-2</v>
      </c>
      <c r="S31" s="38">
        <f t="shared" si="8"/>
        <v>7.6129158859470469E-2</v>
      </c>
      <c r="T31" s="38">
        <f t="shared" si="8"/>
        <v>7.6129158859470469E-2</v>
      </c>
      <c r="U31" s="38">
        <f t="shared" si="8"/>
        <v>7.6129158859470469E-2</v>
      </c>
      <c r="V31" s="38">
        <f t="shared" si="8"/>
        <v>7.6129158859470469E-2</v>
      </c>
      <c r="W31" s="38">
        <f t="shared" si="8"/>
        <v>7.6129158859470469E-2</v>
      </c>
      <c r="X31" s="38">
        <f t="shared" si="8"/>
        <v>7.6129158859470469E-2</v>
      </c>
      <c r="Y31" s="38">
        <f t="shared" si="8"/>
        <v>7.6129158859470469E-2</v>
      </c>
      <c r="Z31" s="38">
        <f t="shared" si="8"/>
        <v>7.6129158859470469E-2</v>
      </c>
      <c r="AA31" s="38">
        <f t="shared" si="8"/>
        <v>7.6129158859470469E-2</v>
      </c>
      <c r="AB31" s="38">
        <f t="shared" si="8"/>
        <v>7.6129158859470469E-2</v>
      </c>
      <c r="AC31" s="38">
        <f t="shared" si="8"/>
        <v>7.6129158859470469E-2</v>
      </c>
      <c r="AD31" s="38">
        <f t="shared" si="8"/>
        <v>7.6129158859470469E-2</v>
      </c>
      <c r="AE31" s="38">
        <f t="shared" si="8"/>
        <v>7.6129158859470469E-2</v>
      </c>
    </row>
    <row r="32" spans="2:31" x14ac:dyDescent="0.35">
      <c r="B32" s="99"/>
      <c r="C32" s="20" t="s">
        <v>285</v>
      </c>
      <c r="D32" s="44"/>
      <c r="E32" s="27" t="s">
        <v>274</v>
      </c>
      <c r="F32" s="23" t="s">
        <v>130</v>
      </c>
      <c r="G32" s="23" t="s">
        <v>128</v>
      </c>
      <c r="H32" s="38">
        <f>MAX((H30-H$14),0)*Data!$F$7</f>
        <v>0</v>
      </c>
      <c r="I32" s="38">
        <f>MAX((I30-I$14),0)*Data!$F$7</f>
        <v>0</v>
      </c>
      <c r="J32" s="38">
        <f>MAX((J30-J$14),0)*Data!$F$7</f>
        <v>0</v>
      </c>
      <c r="K32" s="38">
        <f>MAX((K30-K$14),0)*Data!$F$7</f>
        <v>0</v>
      </c>
      <c r="L32" s="38">
        <f>MAX((L30-L$14),0)*Data!$F$7</f>
        <v>0</v>
      </c>
      <c r="M32" s="38">
        <f>MAX((M30-M$14),0)*Data!$F$7</f>
        <v>0.12362723778567165</v>
      </c>
      <c r="N32" s="38">
        <f>MAX((N30-N$14),0)*Data!$F$7</f>
        <v>0.33474417201626905</v>
      </c>
      <c r="O32" s="38">
        <f>MAX((O30-O$14),0)*Data!$F$7</f>
        <v>0.5458611062468659</v>
      </c>
      <c r="P32" s="38">
        <f>MAX((P30-P$14),0)*Data!$F$7</f>
        <v>0.7377855919110452</v>
      </c>
      <c r="Q32" s="38">
        <f>MAX((Q30-Q$14),0)*Data!$F$7</f>
        <v>0.96041799528149296</v>
      </c>
      <c r="R32" s="38">
        <f>MAX((R30-R$14),0)*Data!$F$7</f>
        <v>1.1830503986519403</v>
      </c>
      <c r="S32" s="38">
        <f>MAX((S30-S$14),0)*Data!$F$7</f>
        <v>1.4056828020223884</v>
      </c>
      <c r="T32" s="38">
        <f>MAX((T30-T$14),0)*Data!$F$7</f>
        <v>1.6283152053928365</v>
      </c>
      <c r="U32" s="38">
        <f>MAX((U30-U$14),0)*Data!$F$7</f>
        <v>1.8509476087632839</v>
      </c>
      <c r="V32" s="38">
        <f>MAX((V30-V$14),0)*Data!$F$7</f>
        <v>1.9699407898750749</v>
      </c>
      <c r="W32" s="38">
        <f>MAX((W30-W$14),0)*Data!$F$7</f>
        <v>2.0889339709868664</v>
      </c>
      <c r="X32" s="38">
        <f>MAX((X30-X$14),0)*Data!$F$7</f>
        <v>2.2079271520986574</v>
      </c>
      <c r="Y32" s="38">
        <f>MAX((Y30-Y$14),0)*Data!$F$7</f>
        <v>2.3269203332104484</v>
      </c>
      <c r="Z32" s="38">
        <f>MAX((Z30-Z$14),0)*Data!$F$7</f>
        <v>2.445913514322239</v>
      </c>
      <c r="AA32" s="38">
        <f>MAX((AA30-AA$14),0)*Data!$F$7</f>
        <v>2.5610682057207463</v>
      </c>
      <c r="AB32" s="38">
        <f>MAX((AB30-AB$14),0)*Data!$F$7</f>
        <v>2.6762228971192541</v>
      </c>
      <c r="AC32" s="38">
        <f>MAX((AC30-AC$14),0)*Data!$F$7</f>
        <v>2.7913775885177614</v>
      </c>
      <c r="AD32" s="38">
        <f>MAX((AD30-AD$14),0)*Data!$F$7</f>
        <v>2.9065322799162687</v>
      </c>
      <c r="AE32" s="38">
        <f>MAX((AE30-AE$14),0)*Data!$F$7</f>
        <v>3.021686971314776</v>
      </c>
    </row>
    <row r="33" spans="2:31" x14ac:dyDescent="0.35">
      <c r="B33" s="99"/>
      <c r="C33" s="20" t="s">
        <v>286</v>
      </c>
      <c r="D33" s="130" t="str">
        <f>IF('CCC Summary'!$C$17="Two-tier","Striving "&amp;'CCC Summary'!$C$21,"No Tier 2")</f>
        <v>Striving Yearly</v>
      </c>
      <c r="E33" s="27" t="s">
        <v>275</v>
      </c>
      <c r="F33" s="23" t="s">
        <v>279</v>
      </c>
      <c r="G33" s="23" t="s">
        <v>128</v>
      </c>
      <c r="H33" s="38">
        <f>MAX(0,(H30-H$15)*Data!$F$7-H32)</f>
        <v>0</v>
      </c>
      <c r="I33" s="38">
        <f>MAX(0,(I30-I$15)*Data!$F$7-I32)</f>
        <v>0</v>
      </c>
      <c r="J33" s="38">
        <f>MAX(0,(J30-J$15)*Data!$F$7-J32)</f>
        <v>8.4725463871646051E-3</v>
      </c>
      <c r="K33" s="38">
        <f>MAX(0,(K30-K$15)*Data!$F$7-K32)</f>
        <v>0.2003970320513436</v>
      </c>
      <c r="L33" s="38">
        <f>MAX(0,(L30-L$15)*Data!$F$7-L32)</f>
        <v>0.41151396628194042</v>
      </c>
      <c r="M33" s="38">
        <f>MAX(0,(M30-M$15)*Data!$F$7-M32)</f>
        <v>0.49900366272686592</v>
      </c>
      <c r="N33" s="38">
        <f>MAX(0,(N30-N$15)*Data!$F$7-N32)</f>
        <v>0.49900366272686536</v>
      </c>
      <c r="O33" s="38">
        <f>MAX(0,(O30-O$15)*Data!$F$7-O32)</f>
        <v>0.47981121416044781</v>
      </c>
      <c r="P33" s="38">
        <f>MAX(0,(P30-P$15)*Data!$F$7-P32)</f>
        <v>0.49900366272686547</v>
      </c>
      <c r="Q33" s="38">
        <f>MAX(0,(Q30-Q$15)*Data!$F$7-Q32)</f>
        <v>0.48364970387373141</v>
      </c>
      <c r="R33" s="38">
        <f>MAX(0,(R30-R$15)*Data!$F$7-R32)</f>
        <v>0.46829574502059779</v>
      </c>
      <c r="S33" s="38">
        <f>MAX(0,(S30-S$15)*Data!$F$7-S32)</f>
        <v>0.45294178616746339</v>
      </c>
      <c r="T33" s="38">
        <f>MAX(0,(T30-T$15)*Data!$F$7-T32)</f>
        <v>0.43758782731432855</v>
      </c>
      <c r="U33" s="38">
        <f>MAX(0,(U30-U$15)*Data!$F$7-U32)</f>
        <v>0.42223386846119393</v>
      </c>
      <c r="V33" s="38">
        <f>MAX(0,(V30-V$15)*Data!$F$7-V32)</f>
        <v>0.38384897132835816</v>
      </c>
      <c r="W33" s="38">
        <f>MAX(0,(W30-W$15)*Data!$F$7-W32)</f>
        <v>0.34546407419552239</v>
      </c>
      <c r="X33" s="38">
        <f>MAX(0,(X30-X$15)*Data!$F$7-X32)</f>
        <v>0.30707917706268617</v>
      </c>
      <c r="Y33" s="38">
        <f>MAX(0,(Y30-Y$15)*Data!$F$7-Y32)</f>
        <v>0.26869427992985084</v>
      </c>
      <c r="Z33" s="38">
        <f>MAX(0,(Z30-Z$15)*Data!$F$7-Z32)</f>
        <v>0.23030938279701507</v>
      </c>
      <c r="AA33" s="38">
        <f>MAX(0,(AA30-AA$15)*Data!$F$7-AA32)</f>
        <v>0.18424750623761232</v>
      </c>
      <c r="AB33" s="38">
        <f>MAX(0,(AB30-AB$15)*Data!$F$7-AB32)</f>
        <v>0.13818562967820913</v>
      </c>
      <c r="AC33" s="38">
        <f>MAX(0,(AC30-AC$15)*Data!$F$7-AC32)</f>
        <v>9.2123753118806384E-2</v>
      </c>
      <c r="AD33" s="38">
        <f>MAX(0,(AD30-AD$15)*Data!$F$7-AD32)</f>
        <v>4.6061876559403192E-2</v>
      </c>
      <c r="AE33" s="38">
        <f>MAX(0,(AE30-AE$15)*Data!$F$7-AE32)</f>
        <v>0</v>
      </c>
    </row>
    <row r="34" spans="2:31" x14ac:dyDescent="0.35">
      <c r="B34" s="99"/>
      <c r="C34" s="20" t="s">
        <v>129</v>
      </c>
      <c r="D34" s="44"/>
      <c r="E34" s="27" t="s">
        <v>278</v>
      </c>
      <c r="F34" s="23" t="s">
        <v>130</v>
      </c>
      <c r="G34" s="23" t="s">
        <v>131</v>
      </c>
      <c r="H34" s="38">
        <f>MIN(IF($D$33="No Tier 2",(H30-H$14),(H30-H$15)),0)*Data!$F$7</f>
        <v>-0.45214621920686532</v>
      </c>
      <c r="I34" s="38">
        <f>MIN(IF($D$33="No Tier 2",(I30-I$14),(I30-I$15)),0)*Data!$F$7</f>
        <v>-0.24102928497626847</v>
      </c>
      <c r="J34" s="38">
        <f>MIN(IF($D$33="No Tier 2",(J30-J$14),(J30-J$15)),0)*Data!$F$7</f>
        <v>0</v>
      </c>
      <c r="K34" s="38">
        <f>MIN(IF($D$33="No Tier 2",(K30-K$14),(K30-K$15)),0)*Data!$F$7</f>
        <v>0</v>
      </c>
      <c r="L34" s="38">
        <f>MIN(IF($D$33="No Tier 2",(L30-L$14),(L30-L$15)),0)*Data!$F$7</f>
        <v>0</v>
      </c>
      <c r="M34" s="38">
        <f>MIN(IF($D$33="No Tier 2",(M30-M$14),(M30-M$15)),0)*Data!$F$7</f>
        <v>0</v>
      </c>
      <c r="N34" s="38">
        <f>MIN(IF($D$33="No Tier 2",(N30-N$14),(N30-N$15)),0)*Data!$F$7</f>
        <v>0</v>
      </c>
      <c r="O34" s="38">
        <f>MIN(IF($D$33="No Tier 2",(O30-O$14),(O30-O$15)),0)*Data!$F$7</f>
        <v>0</v>
      </c>
      <c r="P34" s="38">
        <f>MIN(IF($D$33="No Tier 2",(P30-P$14),(P30-P$15)),0)*Data!$F$7</f>
        <v>0</v>
      </c>
      <c r="Q34" s="38">
        <f>MIN(IF($D$33="No Tier 2",(Q30-Q$14),(Q30-Q$15)),0)*Data!$F$7</f>
        <v>0</v>
      </c>
      <c r="R34" s="38">
        <f>MIN(IF($D$33="No Tier 2",(R30-R$14),(R30-R$15)),0)*Data!$F$7</f>
        <v>0</v>
      </c>
      <c r="S34" s="38">
        <f>MIN(IF($D$33="No Tier 2",(S30-S$14),(S30-S$15)),0)*Data!$F$7</f>
        <v>0</v>
      </c>
      <c r="T34" s="38">
        <f>MIN(IF($D$33="No Tier 2",(T30-T$14),(T30-T$15)),0)*Data!$F$7</f>
        <v>0</v>
      </c>
      <c r="U34" s="38">
        <f>MIN(IF($D$33="No Tier 2",(U30-U$14),(U30-U$15)),0)*Data!$F$7</f>
        <v>0</v>
      </c>
      <c r="V34" s="38">
        <f>MIN(IF($D$33="No Tier 2",(V30-V$14),(V30-V$15)),0)*Data!$F$7</f>
        <v>0</v>
      </c>
      <c r="W34" s="38">
        <f>MIN(IF($D$33="No Tier 2",(W30-W$14),(W30-W$15)),0)*Data!$F$7</f>
        <v>0</v>
      </c>
      <c r="X34" s="38">
        <f>MIN(IF($D$33="No Tier 2",(X30-X$14),(X30-X$15)),0)*Data!$F$7</f>
        <v>0</v>
      </c>
      <c r="Y34" s="38">
        <f>MIN(IF($D$33="No Tier 2",(Y30-Y$14),(Y30-Y$15)),0)*Data!$F$7</f>
        <v>0</v>
      </c>
      <c r="Z34" s="38">
        <f>MIN(IF($D$33="No Tier 2",(Z30-Z$14),(Z30-Z$15)),0)*Data!$F$7</f>
        <v>0</v>
      </c>
      <c r="AA34" s="38">
        <f>MIN(IF($D$33="No Tier 2",(AA30-AA$14),(AA30-AA$15)),0)*Data!$F$7</f>
        <v>0</v>
      </c>
      <c r="AB34" s="38">
        <f>MIN(IF($D$33="No Tier 2",(AB30-AB$14),(AB30-AB$15)),0)*Data!$F$7</f>
        <v>0</v>
      </c>
      <c r="AC34" s="38">
        <f>MIN(IF($D$33="No Tier 2",(AC30-AC$14),(AC30-AC$15)),0)*Data!$F$7</f>
        <v>0</v>
      </c>
      <c r="AD34" s="38">
        <f>MIN(IF($D$33="No Tier 2",(AD30-AD$14),(AD30-AD$15)),0)*Data!$F$7</f>
        <v>0</v>
      </c>
      <c r="AE34" s="38">
        <f>MIN(IF($D$33="No Tier 2",(AE30-AE$14),(AE30-AE$15)),0)*Data!$F$7</f>
        <v>0</v>
      </c>
    </row>
    <row r="35" spans="2:31" x14ac:dyDescent="0.35">
      <c r="B35" s="99"/>
      <c r="C35" s="20" t="s">
        <v>132</v>
      </c>
      <c r="D35" s="131" t="str">
        <f>'CCC Summary'!$C$51</f>
        <v>MMM LNG</v>
      </c>
      <c r="E35" s="27" t="s">
        <v>104</v>
      </c>
      <c r="F35" s="23" t="str">
        <f>IF('CCC Summary'!$C$41="Yes",'CCC Summary'!$D$41,"")</f>
        <v/>
      </c>
      <c r="G35" s="23" t="s">
        <v>120</v>
      </c>
      <c r="H35" s="139">
        <f>IF($D$35="Enter fixed price",'CCC Summary'!$C$52/(Data!$F$7*1000),INDEX(Data!$B$31:$AB$40,MATCH($D$35,Data!$B$31:$B$40,0),MATCH(H$13,Data!$B$31:$AB$31,0)))</f>
        <v>14.565286282585156</v>
      </c>
      <c r="I35" s="139">
        <f>IF($D$35="Enter fixed price",'CCC Summary'!$C$52/(Data!$F$7*1000),INDEX(Data!$B$31:$AB$40,MATCH($D$35,Data!$B$31:$B$40,0),MATCH(I$13,Data!$B$31:$AB$31,0)))</f>
        <v>13.513486979796285</v>
      </c>
      <c r="J35" s="139">
        <f>IF($D$35="Enter fixed price",'CCC Summary'!$C$52/(Data!$F$7*1000),INDEX(Data!$B$31:$AB$40,MATCH($D$35,Data!$B$31:$B$40,0),MATCH(J$13,Data!$B$31:$AB$31,0)))</f>
        <v>12.461687677007411</v>
      </c>
      <c r="K35" s="139">
        <f>IF($D$35="Enter fixed price",'CCC Summary'!$C$52/(Data!$F$7*1000),INDEX(Data!$B$31:$AB$40,MATCH($D$35,Data!$B$31:$B$40,0),MATCH(K$13,Data!$B$31:$AB$31,0)))</f>
        <v>11.409888374218541</v>
      </c>
      <c r="L35" s="139">
        <f>IF($D$35="Enter fixed price",'CCC Summary'!$C$52/(Data!$F$7*1000),INDEX(Data!$B$31:$AB$40,MATCH($D$35,Data!$B$31:$B$40,0),MATCH(L$13,Data!$B$31:$AB$31,0)))</f>
        <v>11.404711335629472</v>
      </c>
      <c r="M35" s="139">
        <f>IF($D$35="Enter fixed price",'CCC Summary'!$C$52/(Data!$F$7*1000),INDEX(Data!$B$31:$AB$40,MATCH($D$35,Data!$B$31:$B$40,0),MATCH(M$13,Data!$B$31:$AB$31,0)))</f>
        <v>11.399534297040399</v>
      </c>
      <c r="N35" s="139">
        <f>IF($D$35="Enter fixed price",'CCC Summary'!$C$52/(Data!$F$7*1000),INDEX(Data!$B$31:$AB$40,MATCH($D$35,Data!$B$31:$B$40,0),MATCH(N$13,Data!$B$31:$AB$31,0)))</f>
        <v>11.394357258451331</v>
      </c>
      <c r="O35" s="139">
        <f>IF($D$35="Enter fixed price",'CCC Summary'!$C$52/(Data!$F$7*1000),INDEX(Data!$B$31:$AB$40,MATCH($D$35,Data!$B$31:$B$40,0),MATCH(O$13,Data!$B$31:$AB$31,0)))</f>
        <v>11.389180219862256</v>
      </c>
      <c r="P35" s="139">
        <f>IF($D$35="Enter fixed price",'CCC Summary'!$C$52/(Data!$F$7*1000),INDEX(Data!$B$31:$AB$40,MATCH($D$35,Data!$B$31:$B$40,0),MATCH(P$13,Data!$B$31:$AB$31,0)))</f>
        <v>11.384003181273181</v>
      </c>
      <c r="Q35" s="139">
        <f>IF($D$35="Enter fixed price",'CCC Summary'!$C$52/(Data!$F$7*1000),INDEX(Data!$B$31:$AB$40,MATCH($D$35,Data!$B$31:$B$40,0),MATCH(Q$13,Data!$B$31:$AB$31,0)))</f>
        <v>11.359334171568827</v>
      </c>
      <c r="R35" s="139">
        <f>IF($D$35="Enter fixed price",'CCC Summary'!$C$52/(Data!$F$7*1000),INDEX(Data!$B$31:$AB$40,MATCH($D$35,Data!$B$31:$B$40,0),MATCH(R$13,Data!$B$31:$AB$31,0)))</f>
        <v>11.334665161864466</v>
      </c>
      <c r="S35" s="139">
        <f>IF($D$35="Enter fixed price",'CCC Summary'!$C$52/(Data!$F$7*1000),INDEX(Data!$B$31:$AB$40,MATCH($D$35,Data!$B$31:$B$40,0),MATCH(S$13,Data!$B$31:$AB$31,0)))</f>
        <v>11.309996152160105</v>
      </c>
      <c r="T35" s="139">
        <f>IF($D$35="Enter fixed price",'CCC Summary'!$C$52/(Data!$F$7*1000),INDEX(Data!$B$31:$AB$40,MATCH($D$35,Data!$B$31:$B$40,0),MATCH(T$13,Data!$B$31:$AB$31,0)))</f>
        <v>11.285327142455742</v>
      </c>
      <c r="U35" s="139">
        <f>IF($D$35="Enter fixed price",'CCC Summary'!$C$52/(Data!$F$7*1000),INDEX(Data!$B$31:$AB$40,MATCH($D$35,Data!$B$31:$B$40,0),MATCH(U$13,Data!$B$31:$AB$31,0)))</f>
        <v>11.26065813275139</v>
      </c>
      <c r="V35" s="139">
        <f>IF($D$35="Enter fixed price",'CCC Summary'!$C$52/(Data!$F$7*1000),INDEX(Data!$B$31:$AB$40,MATCH($D$35,Data!$B$31:$B$40,0),MATCH(V$13,Data!$B$31:$AB$31,0)))</f>
        <v>11.236676488740128</v>
      </c>
      <c r="W35" s="139">
        <f>IF($D$35="Enter fixed price",'CCC Summary'!$C$52/(Data!$F$7*1000),INDEX(Data!$B$31:$AB$40,MATCH($D$35,Data!$B$31:$B$40,0),MATCH(W$13,Data!$B$31:$AB$31,0)))</f>
        <v>11.212694844728878</v>
      </c>
      <c r="X35" s="139">
        <f>IF($D$35="Enter fixed price",'CCC Summary'!$C$52/(Data!$F$7*1000),INDEX(Data!$B$31:$AB$40,MATCH($D$35,Data!$B$31:$B$40,0),MATCH(X$13,Data!$B$31:$AB$31,0)))</f>
        <v>11.18871320071762</v>
      </c>
      <c r="Y35" s="139">
        <f>IF($D$35="Enter fixed price",'CCC Summary'!$C$52/(Data!$F$7*1000),INDEX(Data!$B$31:$AB$40,MATCH($D$35,Data!$B$31:$B$40,0),MATCH(Y$13,Data!$B$31:$AB$31,0)))</f>
        <v>11.164731556706363</v>
      </c>
      <c r="Z35" s="139">
        <f>IF($D$35="Enter fixed price",'CCC Summary'!$C$52/(Data!$F$7*1000),INDEX(Data!$B$31:$AB$40,MATCH($D$35,Data!$B$31:$B$40,0),MATCH(Z$13,Data!$B$31:$AB$31,0)))</f>
        <v>11.140749912695105</v>
      </c>
      <c r="AA35" s="139">
        <f>IF($D$35="Enter fixed price",'CCC Summary'!$C$52/(Data!$F$7*1000),INDEX(Data!$B$31:$AB$40,MATCH($D$35,Data!$B$31:$B$40,0),MATCH(AA$13,Data!$B$31:$AB$31,0)))</f>
        <v>11.119938841184348</v>
      </c>
      <c r="AB35" s="139">
        <f>IF($D$35="Enter fixed price",'CCC Summary'!$C$52/(Data!$F$7*1000),INDEX(Data!$B$31:$AB$40,MATCH($D$35,Data!$B$31:$B$40,0),MATCH(AB$13,Data!$B$31:$AB$31,0)))</f>
        <v>11.099127769673593</v>
      </c>
      <c r="AC35" s="139">
        <f>IF($D$35="Enter fixed price",'CCC Summary'!$C$52/(Data!$F$7*1000),INDEX(Data!$B$31:$AB$40,MATCH($D$35,Data!$B$31:$B$40,0),MATCH(AC$13,Data!$B$31:$AB$31,0)))</f>
        <v>11.078316698162839</v>
      </c>
      <c r="AD35" s="139">
        <f>IF($D$35="Enter fixed price",'CCC Summary'!$C$52/(Data!$F$7*1000),INDEX(Data!$B$31:$AB$40,MATCH($D$35,Data!$B$31:$B$40,0),MATCH(AD$13,Data!$B$31:$AB$31,0)))</f>
        <v>11.057505626652086</v>
      </c>
      <c r="AE35" s="139">
        <f>IF($D$35="Enter fixed price",'CCC Summary'!$C$52/(Data!$F$7*1000),INDEX(Data!$B$31:$AB$40,MATCH($D$35,Data!$B$31:$B$40,0),MATCH(AE$13,Data!$B$31:$AB$31,0)))</f>
        <v>11.036694555141331</v>
      </c>
    </row>
    <row r="36" spans="2:31" x14ac:dyDescent="0.35">
      <c r="B36" s="99"/>
      <c r="C36" s="100" t="s">
        <v>133</v>
      </c>
      <c r="D36" s="44"/>
      <c r="E36" s="27"/>
      <c r="F36" s="23"/>
      <c r="G36" s="23" t="s">
        <v>134</v>
      </c>
      <c r="H36" s="139">
        <f>MAX(H32*H$18,0)</f>
        <v>0</v>
      </c>
      <c r="I36" s="139">
        <f t="shared" ref="I36:AE36" si="9">MAX(I32*I$18,0)</f>
        <v>0</v>
      </c>
      <c r="J36" s="139">
        <f t="shared" si="9"/>
        <v>0</v>
      </c>
      <c r="K36" s="139">
        <f t="shared" si="9"/>
        <v>0</v>
      </c>
      <c r="L36" s="139">
        <f t="shared" si="9"/>
        <v>0</v>
      </c>
      <c r="M36" s="139">
        <f t="shared" si="9"/>
        <v>74.176342671402992</v>
      </c>
      <c r="N36" s="139">
        <f t="shared" si="9"/>
        <v>200.84650320976144</v>
      </c>
      <c r="O36" s="139">
        <f t="shared" si="9"/>
        <v>327.51666374811953</v>
      </c>
      <c r="P36" s="139">
        <f t="shared" si="9"/>
        <v>442.67135514662709</v>
      </c>
      <c r="Q36" s="139">
        <f t="shared" si="9"/>
        <v>576.25079716889582</v>
      </c>
      <c r="R36" s="139">
        <f t="shared" si="9"/>
        <v>709.8302391911642</v>
      </c>
      <c r="S36" s="139">
        <f t="shared" si="9"/>
        <v>843.40968121343303</v>
      </c>
      <c r="T36" s="139">
        <f t="shared" si="9"/>
        <v>976.98912323570187</v>
      </c>
      <c r="U36" s="139">
        <f t="shared" si="9"/>
        <v>1110.5685652579702</v>
      </c>
      <c r="V36" s="139">
        <f t="shared" si="9"/>
        <v>1181.964473925045</v>
      </c>
      <c r="W36" s="139">
        <f t="shared" si="9"/>
        <v>1253.3603825921198</v>
      </c>
      <c r="X36" s="139">
        <f t="shared" si="9"/>
        <v>1324.7562912591945</v>
      </c>
      <c r="Y36" s="139">
        <f t="shared" si="9"/>
        <v>1396.1521999262691</v>
      </c>
      <c r="Z36" s="139">
        <f t="shared" si="9"/>
        <v>1467.5481085933434</v>
      </c>
      <c r="AA36" s="139">
        <f t="shared" si="9"/>
        <v>1536.6409234324478</v>
      </c>
      <c r="AB36" s="139">
        <f t="shared" si="9"/>
        <v>1605.7337382715525</v>
      </c>
      <c r="AC36" s="139">
        <f t="shared" si="9"/>
        <v>1674.8265531106567</v>
      </c>
      <c r="AD36" s="139">
        <f t="shared" si="9"/>
        <v>1743.9193679497612</v>
      </c>
      <c r="AE36" s="139">
        <f t="shared" si="9"/>
        <v>1813.0121827888656</v>
      </c>
    </row>
    <row r="37" spans="2:31" x14ac:dyDescent="0.35">
      <c r="B37" s="99"/>
      <c r="C37" s="101" t="s">
        <v>283</v>
      </c>
      <c r="D37" s="133"/>
      <c r="E37" s="102" t="s">
        <v>122</v>
      </c>
      <c r="F37" s="31" t="s">
        <v>123</v>
      </c>
      <c r="G37" s="31" t="s">
        <v>134</v>
      </c>
      <c r="H37" s="141">
        <f>H33*H$19</f>
        <v>0</v>
      </c>
      <c r="I37" s="141">
        <f t="shared" ref="I37:AE37" si="10">I33*I$19</f>
        <v>0</v>
      </c>
      <c r="J37" s="141">
        <f t="shared" si="10"/>
        <v>0.84725463871646056</v>
      </c>
      <c r="K37" s="141">
        <f t="shared" si="10"/>
        <v>20.039703205134359</v>
      </c>
      <c r="L37" s="141">
        <f t="shared" si="10"/>
        <v>41.151396628194043</v>
      </c>
      <c r="M37" s="141">
        <f t="shared" si="10"/>
        <v>49.90036627268659</v>
      </c>
      <c r="N37" s="141">
        <f t="shared" si="10"/>
        <v>49.900366272686533</v>
      </c>
      <c r="O37" s="141">
        <f t="shared" si="10"/>
        <v>47.981121416044779</v>
      </c>
      <c r="P37" s="141">
        <f t="shared" si="10"/>
        <v>49.900366272686547</v>
      </c>
      <c r="Q37" s="141">
        <f t="shared" si="10"/>
        <v>48.364970387373141</v>
      </c>
      <c r="R37" s="141">
        <f t="shared" si="10"/>
        <v>46.829574502059778</v>
      </c>
      <c r="S37" s="141">
        <f t="shared" si="10"/>
        <v>45.294178616746336</v>
      </c>
      <c r="T37" s="141">
        <f t="shared" si="10"/>
        <v>43.758782731432852</v>
      </c>
      <c r="U37" s="141">
        <f t="shared" si="10"/>
        <v>42.223386846119396</v>
      </c>
      <c r="V37" s="141">
        <f t="shared" si="10"/>
        <v>38.384897132835818</v>
      </c>
      <c r="W37" s="141">
        <f t="shared" si="10"/>
        <v>34.546407419552239</v>
      </c>
      <c r="X37" s="141">
        <f t="shared" si="10"/>
        <v>30.707917706268617</v>
      </c>
      <c r="Y37" s="141">
        <f t="shared" si="10"/>
        <v>26.869427992985084</v>
      </c>
      <c r="Z37" s="141">
        <f t="shared" si="10"/>
        <v>23.030938279701509</v>
      </c>
      <c r="AA37" s="141">
        <f t="shared" si="10"/>
        <v>18.424750623761234</v>
      </c>
      <c r="AB37" s="141">
        <f t="shared" si="10"/>
        <v>13.818562967820913</v>
      </c>
      <c r="AC37" s="141">
        <f t="shared" si="10"/>
        <v>9.2123753118806384</v>
      </c>
      <c r="AD37" s="141">
        <f t="shared" si="10"/>
        <v>4.6061876559403192</v>
      </c>
      <c r="AE37" s="141">
        <f t="shared" si="10"/>
        <v>0</v>
      </c>
    </row>
    <row r="38" spans="2:31" x14ac:dyDescent="0.35">
      <c r="B38" s="99" t="s">
        <v>17</v>
      </c>
      <c r="C38" s="20" t="s">
        <v>135</v>
      </c>
      <c r="D38" s="134" t="s">
        <v>17</v>
      </c>
      <c r="E38" s="27" t="s">
        <v>104</v>
      </c>
      <c r="F38" s="49"/>
      <c r="G38" s="23" t="s">
        <v>98</v>
      </c>
      <c r="H38" s="139">
        <f>INDEX($C$4:$O$8,MATCH($D$8,$C$4:$C$8,0),MATCH($D38,$C$4:$O$4,0))</f>
        <v>16.227027027027027</v>
      </c>
      <c r="I38" s="139">
        <f t="shared" ref="I38:AE38" si="11">INDEX($C$4:$O$8,MATCH($D$8,$C$4:$C$8,0),MATCH($D38,$C$4:$O$4,0))</f>
        <v>16.227027027027027</v>
      </c>
      <c r="J38" s="139">
        <f t="shared" si="11"/>
        <v>16.227027027027027</v>
      </c>
      <c r="K38" s="139">
        <f t="shared" si="11"/>
        <v>16.227027027027027</v>
      </c>
      <c r="L38" s="139">
        <f t="shared" si="11"/>
        <v>16.227027027027027</v>
      </c>
      <c r="M38" s="139">
        <f t="shared" si="11"/>
        <v>16.227027027027027</v>
      </c>
      <c r="N38" s="139">
        <f t="shared" si="11"/>
        <v>16.227027027027027</v>
      </c>
      <c r="O38" s="139">
        <f t="shared" si="11"/>
        <v>16.227027027027027</v>
      </c>
      <c r="P38" s="139">
        <f t="shared" si="11"/>
        <v>16.227027027027027</v>
      </c>
      <c r="Q38" s="139">
        <f t="shared" si="11"/>
        <v>16.227027027027027</v>
      </c>
      <c r="R38" s="139">
        <f t="shared" si="11"/>
        <v>16.227027027027027</v>
      </c>
      <c r="S38" s="139">
        <f t="shared" si="11"/>
        <v>16.227027027027027</v>
      </c>
      <c r="T38" s="139">
        <f t="shared" si="11"/>
        <v>16.227027027027027</v>
      </c>
      <c r="U38" s="139">
        <f t="shared" si="11"/>
        <v>16.227027027027027</v>
      </c>
      <c r="V38" s="139">
        <f t="shared" si="11"/>
        <v>16.227027027027027</v>
      </c>
      <c r="W38" s="139">
        <f t="shared" si="11"/>
        <v>16.227027027027027</v>
      </c>
      <c r="X38" s="139">
        <f t="shared" si="11"/>
        <v>16.227027027027027</v>
      </c>
      <c r="Y38" s="139">
        <f t="shared" si="11"/>
        <v>16.227027027027027</v>
      </c>
      <c r="Z38" s="139">
        <f t="shared" si="11"/>
        <v>16.227027027027027</v>
      </c>
      <c r="AA38" s="139">
        <f t="shared" si="11"/>
        <v>16.227027027027027</v>
      </c>
      <c r="AB38" s="139">
        <f t="shared" si="11"/>
        <v>16.227027027027027</v>
      </c>
      <c r="AC38" s="139">
        <f t="shared" si="11"/>
        <v>16.227027027027027</v>
      </c>
      <c r="AD38" s="139">
        <f t="shared" si="11"/>
        <v>16.227027027027027</v>
      </c>
      <c r="AE38" s="139">
        <f t="shared" si="11"/>
        <v>16.227027027027027</v>
      </c>
    </row>
    <row r="39" spans="2:31" x14ac:dyDescent="0.35">
      <c r="B39" s="99"/>
      <c r="C39" s="20" t="s">
        <v>136</v>
      </c>
      <c r="D39" s="44"/>
      <c r="E39" s="27" t="s">
        <v>114</v>
      </c>
      <c r="F39" s="23" t="s">
        <v>115</v>
      </c>
      <c r="G39" s="23" t="s">
        <v>116</v>
      </c>
      <c r="H39" s="38">
        <f>H38/1000</f>
        <v>1.6227027027027028E-2</v>
      </c>
      <c r="I39" s="38">
        <f t="shared" ref="I39:AE39" si="12">I38/1000</f>
        <v>1.6227027027027028E-2</v>
      </c>
      <c r="J39" s="38">
        <f t="shared" si="12"/>
        <v>1.6227027027027028E-2</v>
      </c>
      <c r="K39" s="38">
        <f t="shared" si="12"/>
        <v>1.6227027027027028E-2</v>
      </c>
      <c r="L39" s="38">
        <f t="shared" si="12"/>
        <v>1.6227027027027028E-2</v>
      </c>
      <c r="M39" s="38">
        <f t="shared" si="12"/>
        <v>1.6227027027027028E-2</v>
      </c>
      <c r="N39" s="38">
        <f t="shared" si="12"/>
        <v>1.6227027027027028E-2</v>
      </c>
      <c r="O39" s="38">
        <f t="shared" si="12"/>
        <v>1.6227027027027028E-2</v>
      </c>
      <c r="P39" s="38">
        <f t="shared" si="12"/>
        <v>1.6227027027027028E-2</v>
      </c>
      <c r="Q39" s="38">
        <f t="shared" si="12"/>
        <v>1.6227027027027028E-2</v>
      </c>
      <c r="R39" s="38">
        <f t="shared" si="12"/>
        <v>1.6227027027027028E-2</v>
      </c>
      <c r="S39" s="38">
        <f t="shared" si="12"/>
        <v>1.6227027027027028E-2</v>
      </c>
      <c r="T39" s="38">
        <f t="shared" si="12"/>
        <v>1.6227027027027028E-2</v>
      </c>
      <c r="U39" s="38">
        <f t="shared" si="12"/>
        <v>1.6227027027027028E-2</v>
      </c>
      <c r="V39" s="38">
        <f t="shared" si="12"/>
        <v>1.6227027027027028E-2</v>
      </c>
      <c r="W39" s="38">
        <f t="shared" si="12"/>
        <v>1.6227027027027028E-2</v>
      </c>
      <c r="X39" s="38">
        <f t="shared" si="12"/>
        <v>1.6227027027027028E-2</v>
      </c>
      <c r="Y39" s="38">
        <f t="shared" si="12"/>
        <v>1.6227027027027028E-2</v>
      </c>
      <c r="Z39" s="38">
        <f t="shared" si="12"/>
        <v>1.6227027027027028E-2</v>
      </c>
      <c r="AA39" s="38">
        <f t="shared" si="12"/>
        <v>1.6227027027027028E-2</v>
      </c>
      <c r="AB39" s="38">
        <f t="shared" si="12"/>
        <v>1.6227027027027028E-2</v>
      </c>
      <c r="AC39" s="38">
        <f t="shared" si="12"/>
        <v>1.6227027027027028E-2</v>
      </c>
      <c r="AD39" s="38">
        <f t="shared" si="12"/>
        <v>1.6227027027027028E-2</v>
      </c>
      <c r="AE39" s="38">
        <f t="shared" si="12"/>
        <v>1.6227027027027028E-2</v>
      </c>
    </row>
    <row r="40" spans="2:31" x14ac:dyDescent="0.35">
      <c r="B40" s="99"/>
      <c r="C40" s="20" t="s">
        <v>137</v>
      </c>
      <c r="D40" s="44"/>
      <c r="E40" s="27"/>
      <c r="F40" s="23" t="s">
        <v>138</v>
      </c>
      <c r="G40" s="23" t="s">
        <v>128</v>
      </c>
      <c r="H40" s="38">
        <f>MAX((H38-H$14),0)*Data!$F$7</f>
        <v>0</v>
      </c>
      <c r="I40" s="38">
        <f>MAX((I38-I$14),0)*Data!$F$7</f>
        <v>0</v>
      </c>
      <c r="J40" s="38">
        <f>MAX((J38-J$14),0)*Data!$F$7</f>
        <v>0</v>
      </c>
      <c r="K40" s="38">
        <f>MAX((K38-K$14),0)*Data!$F$7</f>
        <v>0</v>
      </c>
      <c r="L40" s="38">
        <f>MAX((L38-L$14),0)*Data!$F$7</f>
        <v>0</v>
      </c>
      <c r="M40" s="38">
        <f>MAX((M38-M$14),0)*Data!$F$7</f>
        <v>0</v>
      </c>
      <c r="N40" s="38">
        <f>MAX((N38-N$14),0)*Data!$F$7</f>
        <v>0</v>
      </c>
      <c r="O40" s="38">
        <f>MAX((O38-O$14),0)*Data!$F$7</f>
        <v>0</v>
      </c>
      <c r="P40" s="38">
        <f>MAX((P38-P$14),0)*Data!$F$7</f>
        <v>0</v>
      </c>
      <c r="Q40" s="38">
        <f>MAX((Q38-Q$14),0)*Data!$F$7</f>
        <v>0</v>
      </c>
      <c r="R40" s="38">
        <f>MAX((R38-R$14),0)*Data!$F$7</f>
        <v>0</v>
      </c>
      <c r="S40" s="38">
        <f>MAX((S38-S$14),0)*Data!$F$7</f>
        <v>0</v>
      </c>
      <c r="T40" s="38">
        <f>MAX((T38-T$14),0)*Data!$F$7</f>
        <v>0</v>
      </c>
      <c r="U40" s="38">
        <f>MAX((U38-U$14),0)*Data!$F$7</f>
        <v>0</v>
      </c>
      <c r="V40" s="38">
        <f>MAX((V38-V$14),0)*Data!$F$7</f>
        <v>0</v>
      </c>
      <c r="W40" s="38">
        <f>MAX((W38-W$14),0)*Data!$F$7</f>
        <v>0</v>
      </c>
      <c r="X40" s="38">
        <f>MAX((X38-X$14),0)*Data!$F$7</f>
        <v>0</v>
      </c>
      <c r="Y40" s="38">
        <f>MAX((Y38-Y$14),0)*Data!$F$7</f>
        <v>0</v>
      </c>
      <c r="Z40" s="38">
        <f>MAX((Z38-Z$14),0)*Data!$F$7</f>
        <v>7.8967487417909779E-3</v>
      </c>
      <c r="AA40" s="38">
        <f>MAX((AA38-AA$14),0)*Data!$F$7</f>
        <v>0.12305144014029845</v>
      </c>
      <c r="AB40" s="38">
        <f>MAX((AB38-AB$14),0)*Data!$F$7</f>
        <v>0.23820613153880607</v>
      </c>
      <c r="AC40" s="38">
        <f>MAX((AC38-AC$14),0)*Data!$F$7</f>
        <v>0.35336082293731363</v>
      </c>
      <c r="AD40" s="38">
        <f>MAX((AD38-AD$14),0)*Data!$F$7</f>
        <v>0.46851551433582117</v>
      </c>
      <c r="AE40" s="38">
        <f>MAX((AE38-AE$14),0)*Data!$F$7</f>
        <v>0.58367020573432826</v>
      </c>
    </row>
    <row r="41" spans="2:31" x14ac:dyDescent="0.35">
      <c r="B41" s="99"/>
      <c r="C41" s="46" t="s">
        <v>139</v>
      </c>
      <c r="D41" s="131" t="str">
        <f>'CCC Summary'!$C$45</f>
        <v>LR/UMAS B100 - Avg Price</v>
      </c>
      <c r="E41" s="102" t="s">
        <v>104</v>
      </c>
      <c r="F41" s="31" t="str">
        <f>IF('CCC Summary'!$C$41="Yes",'CCC Summary'!$D$41,"")</f>
        <v/>
      </c>
      <c r="G41" s="31" t="s">
        <v>120</v>
      </c>
      <c r="H41" s="141">
        <f>IF($D$41="Enter fixed price",'CCC Summary'!$C$46/(Data!$F$7*1000),INDEX(Data!$B$31:$AB$40,MATCH($D$41,Data!$B$31:$B$40,0),MATCH(H$13,Data!$B$31:$AB$31,0)))</f>
        <v>32.599999999999994</v>
      </c>
      <c r="I41" s="141">
        <f>IF($D$41="Enter fixed price",'CCC Summary'!$C$46/(Data!$F$7*1000),INDEX(Data!$B$31:$AB$40,MATCH($D$41,Data!$B$31:$B$40,0),MATCH(I$13,Data!$B$31:$AB$31,0)))</f>
        <v>33.900000000000006</v>
      </c>
      <c r="J41" s="141">
        <f>IF($D$41="Enter fixed price",'CCC Summary'!$C$46/(Data!$F$7*1000),INDEX(Data!$B$31:$AB$40,MATCH($D$41,Data!$B$31:$B$40,0),MATCH(J$13,Data!$B$31:$AB$31,0)))</f>
        <v>35.199999999999996</v>
      </c>
      <c r="K41" s="141">
        <f>IF($D$41="Enter fixed price",'CCC Summary'!$C$46/(Data!$F$7*1000),INDEX(Data!$B$31:$AB$40,MATCH($D$41,Data!$B$31:$B$40,0),MATCH(K$13,Data!$B$31:$AB$31,0)))</f>
        <v>36.5</v>
      </c>
      <c r="L41" s="141">
        <f>IF($D$41="Enter fixed price",'CCC Summary'!$C$46/(Data!$F$7*1000),INDEX(Data!$B$31:$AB$40,MATCH($D$41,Data!$B$31:$B$40,0),MATCH(L$13,Data!$B$31:$AB$31,0)))</f>
        <v>37.9</v>
      </c>
      <c r="M41" s="141">
        <f>IF($D$41="Enter fixed price",'CCC Summary'!$C$46/(Data!$F$7*1000),INDEX(Data!$B$31:$AB$40,MATCH($D$41,Data!$B$31:$B$40,0),MATCH(M$13,Data!$B$31:$AB$31,0)))</f>
        <v>39.299999999999997</v>
      </c>
      <c r="N41" s="141">
        <f>IF($D$41="Enter fixed price",'CCC Summary'!$C$46/(Data!$F$7*1000),INDEX(Data!$B$31:$AB$40,MATCH($D$41,Data!$B$31:$B$40,0),MATCH(N$13,Data!$B$31:$AB$31,0)))</f>
        <v>40.700000000000003</v>
      </c>
      <c r="O41" s="141">
        <f>IF($D$41="Enter fixed price",'CCC Summary'!$C$46/(Data!$F$7*1000),INDEX(Data!$B$31:$AB$40,MATCH($D$41,Data!$B$31:$B$40,0),MATCH(O$13,Data!$B$31:$AB$31,0)))</f>
        <v>42.1</v>
      </c>
      <c r="P41" s="141">
        <f>IF($D$41="Enter fixed price",'CCC Summary'!$C$46/(Data!$F$7*1000),INDEX(Data!$B$31:$AB$40,MATCH($D$41,Data!$B$31:$B$40,0),MATCH(P$13,Data!$B$31:$AB$31,0)))</f>
        <v>43.5</v>
      </c>
      <c r="Q41" s="141">
        <f>IF($D$41="Enter fixed price",'CCC Summary'!$C$46/(Data!$F$7*1000),INDEX(Data!$B$31:$AB$40,MATCH($D$41,Data!$B$31:$B$40,0),MATCH(Q$13,Data!$B$31:$AB$31,0)))</f>
        <v>44.9</v>
      </c>
      <c r="R41" s="141">
        <f>IF($D$41="Enter fixed price",'CCC Summary'!$C$46/(Data!$F$7*1000),INDEX(Data!$B$31:$AB$40,MATCH($D$41,Data!$B$31:$B$40,0),MATCH(R$13,Data!$B$31:$AB$31,0)))</f>
        <v>46.3</v>
      </c>
      <c r="S41" s="141">
        <f>IF($D$41="Enter fixed price",'CCC Summary'!$C$46/(Data!$F$7*1000),INDEX(Data!$B$31:$AB$40,MATCH($D$41,Data!$B$31:$B$40,0),MATCH(S$13,Data!$B$31:$AB$31,0)))</f>
        <v>47.7</v>
      </c>
      <c r="T41" s="141">
        <f>IF($D$41="Enter fixed price",'CCC Summary'!$C$46/(Data!$F$7*1000),INDEX(Data!$B$31:$AB$40,MATCH($D$41,Data!$B$31:$B$40,0),MATCH(T$13,Data!$B$31:$AB$31,0)))</f>
        <v>49.1</v>
      </c>
      <c r="U41" s="141">
        <f>IF($D$41="Enter fixed price",'CCC Summary'!$C$46/(Data!$F$7*1000),INDEX(Data!$B$31:$AB$40,MATCH($D$41,Data!$B$31:$B$40,0),MATCH(U$13,Data!$B$31:$AB$31,0)))</f>
        <v>50.5</v>
      </c>
      <c r="V41" s="141">
        <f>IF($D$41="Enter fixed price",'CCC Summary'!$C$46/(Data!$F$7*1000),INDEX(Data!$B$31:$AB$40,MATCH($D$41,Data!$B$31:$B$40,0),MATCH(V$13,Data!$B$31:$AB$31,0)))</f>
        <v>51.800000000000004</v>
      </c>
      <c r="W41" s="141">
        <f>IF($D$41="Enter fixed price",'CCC Summary'!$C$46/(Data!$F$7*1000),INDEX(Data!$B$31:$AB$40,MATCH($D$41,Data!$B$31:$B$40,0),MATCH(W$13,Data!$B$31:$AB$31,0)))</f>
        <v>53.099999999999994</v>
      </c>
      <c r="X41" s="141">
        <f>IF($D$41="Enter fixed price",'CCC Summary'!$C$46/(Data!$F$7*1000),INDEX(Data!$B$31:$AB$40,MATCH($D$41,Data!$B$31:$B$40,0),MATCH(X$13,Data!$B$31:$AB$31,0)))</f>
        <v>54.400000000000006</v>
      </c>
      <c r="Y41" s="141">
        <f>IF($D$41="Enter fixed price",'CCC Summary'!$C$46/(Data!$F$7*1000),INDEX(Data!$B$31:$AB$40,MATCH($D$41,Data!$B$31:$B$40,0),MATCH(Y$13,Data!$B$31:$AB$31,0)))</f>
        <v>55.699999999999996</v>
      </c>
      <c r="Z41" s="141">
        <f>IF($D$41="Enter fixed price",'CCC Summary'!$C$46/(Data!$F$7*1000),INDEX(Data!$B$31:$AB$40,MATCH($D$41,Data!$B$31:$B$40,0),MATCH(Z$13,Data!$B$31:$AB$31,0)))</f>
        <v>57</v>
      </c>
      <c r="AA41" s="141">
        <f>IF($D$41="Enter fixed price",'CCC Summary'!$C$46/(Data!$F$7*1000),INDEX(Data!$B$31:$AB$40,MATCH($D$41,Data!$B$31:$B$40,0),MATCH(AA$13,Data!$B$31:$AB$31,0)))</f>
        <v>58.300000000000004</v>
      </c>
      <c r="AB41" s="141">
        <f>IF($D$41="Enter fixed price",'CCC Summary'!$C$46/(Data!$F$7*1000),INDEX(Data!$B$31:$AB$40,MATCH($D$41,Data!$B$31:$B$40,0),MATCH(AB$13,Data!$B$31:$AB$31,0)))</f>
        <v>59.599999999999994</v>
      </c>
      <c r="AC41" s="141">
        <f>IF($D$41="Enter fixed price",'CCC Summary'!$C$46/(Data!$F$7*1000),INDEX(Data!$B$31:$AB$40,MATCH($D$41,Data!$B$31:$B$40,0),MATCH(AC$13,Data!$B$31:$AB$31,0)))</f>
        <v>60.900000000000006</v>
      </c>
      <c r="AD41" s="141">
        <f>IF($D$41="Enter fixed price",'CCC Summary'!$C$46/(Data!$F$7*1000),INDEX(Data!$B$31:$AB$40,MATCH($D$41,Data!$B$31:$B$40,0),MATCH(AD$13,Data!$B$31:$AB$31,0)))</f>
        <v>62.199999999999996</v>
      </c>
      <c r="AE41" s="141">
        <f>IF($D$41="Enter fixed price",'CCC Summary'!$C$46/(Data!$F$7*1000),INDEX(Data!$B$31:$AB$40,MATCH($D$41,Data!$B$31:$B$40,0),MATCH(AE$13,Data!$B$31:$AB$31,0)))</f>
        <v>63.5</v>
      </c>
    </row>
    <row r="42" spans="2:31" x14ac:dyDescent="0.35">
      <c r="B42" s="99" t="s">
        <v>140</v>
      </c>
      <c r="C42" s="20" t="s">
        <v>141</v>
      </c>
      <c r="D42" s="134" t="str">
        <f>"Bio-methane "&amp;IF(D30="Otto dual fuel (LP)","(LP)","(HP)")</f>
        <v>Bio-methane (HP)</v>
      </c>
      <c r="E42" s="27" t="s">
        <v>104</v>
      </c>
      <c r="F42" s="49"/>
      <c r="G42" s="23" t="s">
        <v>98</v>
      </c>
      <c r="H42" s="139">
        <f>INDEX($C$4:$O$8,MATCH($D$8,$C$4:$C$8,0),MATCH($D42,$C$4:$O$4,0))</f>
        <v>15.591833999999999</v>
      </c>
      <c r="I42" s="139">
        <f t="shared" ref="I42:AE42" si="13">INDEX($C$4:$O$8,MATCH($D$8,$C$4:$C$8,0),MATCH($D42,$C$4:$O$4,0))</f>
        <v>15.591833999999999</v>
      </c>
      <c r="J42" s="139">
        <f t="shared" si="13"/>
        <v>15.591833999999999</v>
      </c>
      <c r="K42" s="139">
        <f t="shared" si="13"/>
        <v>15.591833999999999</v>
      </c>
      <c r="L42" s="139">
        <f t="shared" si="13"/>
        <v>15.591833999999999</v>
      </c>
      <c r="M42" s="139">
        <f t="shared" si="13"/>
        <v>15.591833999999999</v>
      </c>
      <c r="N42" s="139">
        <f t="shared" si="13"/>
        <v>15.591833999999999</v>
      </c>
      <c r="O42" s="139">
        <f t="shared" si="13"/>
        <v>15.591833999999999</v>
      </c>
      <c r="P42" s="139">
        <f t="shared" si="13"/>
        <v>15.591833999999999</v>
      </c>
      <c r="Q42" s="139">
        <f t="shared" si="13"/>
        <v>15.591833999999999</v>
      </c>
      <c r="R42" s="139">
        <f t="shared" si="13"/>
        <v>15.591833999999999</v>
      </c>
      <c r="S42" s="139">
        <f t="shared" si="13"/>
        <v>15.591833999999999</v>
      </c>
      <c r="T42" s="139">
        <f t="shared" si="13"/>
        <v>15.591833999999999</v>
      </c>
      <c r="U42" s="139">
        <f t="shared" si="13"/>
        <v>15.591833999999999</v>
      </c>
      <c r="V42" s="139">
        <f t="shared" si="13"/>
        <v>15.591833999999999</v>
      </c>
      <c r="W42" s="139">
        <f t="shared" si="13"/>
        <v>15.591833999999999</v>
      </c>
      <c r="X42" s="139">
        <f t="shared" si="13"/>
        <v>15.591833999999999</v>
      </c>
      <c r="Y42" s="139">
        <f t="shared" si="13"/>
        <v>15.591833999999999</v>
      </c>
      <c r="Z42" s="139">
        <f t="shared" si="13"/>
        <v>15.591833999999999</v>
      </c>
      <c r="AA42" s="139">
        <f t="shared" si="13"/>
        <v>15.591833999999999</v>
      </c>
      <c r="AB42" s="139">
        <f t="shared" si="13"/>
        <v>15.591833999999999</v>
      </c>
      <c r="AC42" s="139">
        <f t="shared" si="13"/>
        <v>15.591833999999999</v>
      </c>
      <c r="AD42" s="139">
        <f t="shared" si="13"/>
        <v>15.591833999999999</v>
      </c>
      <c r="AE42" s="139">
        <f t="shared" si="13"/>
        <v>15.591833999999999</v>
      </c>
    </row>
    <row r="43" spans="2:31" x14ac:dyDescent="0.35">
      <c r="B43" s="99"/>
      <c r="C43" s="20" t="s">
        <v>142</v>
      </c>
      <c r="D43" s="44"/>
      <c r="E43" s="27" t="s">
        <v>114</v>
      </c>
      <c r="F43" s="23" t="s">
        <v>115</v>
      </c>
      <c r="G43" s="23" t="s">
        <v>116</v>
      </c>
      <c r="H43" s="38">
        <f>H42/1000</f>
        <v>1.5591833999999999E-2</v>
      </c>
      <c r="I43" s="38">
        <f t="shared" ref="I43:AE43" si="14">I42/1000</f>
        <v>1.5591833999999999E-2</v>
      </c>
      <c r="J43" s="38">
        <f t="shared" si="14"/>
        <v>1.5591833999999999E-2</v>
      </c>
      <c r="K43" s="38">
        <f t="shared" si="14"/>
        <v>1.5591833999999999E-2</v>
      </c>
      <c r="L43" s="38">
        <f t="shared" si="14"/>
        <v>1.5591833999999999E-2</v>
      </c>
      <c r="M43" s="38">
        <f t="shared" si="14"/>
        <v>1.5591833999999999E-2</v>
      </c>
      <c r="N43" s="38">
        <f t="shared" si="14"/>
        <v>1.5591833999999999E-2</v>
      </c>
      <c r="O43" s="38">
        <f t="shared" si="14"/>
        <v>1.5591833999999999E-2</v>
      </c>
      <c r="P43" s="38">
        <f t="shared" si="14"/>
        <v>1.5591833999999999E-2</v>
      </c>
      <c r="Q43" s="38">
        <f t="shared" si="14"/>
        <v>1.5591833999999999E-2</v>
      </c>
      <c r="R43" s="38">
        <f t="shared" si="14"/>
        <v>1.5591833999999999E-2</v>
      </c>
      <c r="S43" s="38">
        <f t="shared" si="14"/>
        <v>1.5591833999999999E-2</v>
      </c>
      <c r="T43" s="38">
        <f t="shared" si="14"/>
        <v>1.5591833999999999E-2</v>
      </c>
      <c r="U43" s="38">
        <f t="shared" si="14"/>
        <v>1.5591833999999999E-2</v>
      </c>
      <c r="V43" s="38">
        <f t="shared" si="14"/>
        <v>1.5591833999999999E-2</v>
      </c>
      <c r="W43" s="38">
        <f t="shared" si="14"/>
        <v>1.5591833999999999E-2</v>
      </c>
      <c r="X43" s="38">
        <f t="shared" si="14"/>
        <v>1.5591833999999999E-2</v>
      </c>
      <c r="Y43" s="38">
        <f t="shared" si="14"/>
        <v>1.5591833999999999E-2</v>
      </c>
      <c r="Z43" s="38">
        <f t="shared" si="14"/>
        <v>1.5591833999999999E-2</v>
      </c>
      <c r="AA43" s="38">
        <f t="shared" si="14"/>
        <v>1.5591833999999999E-2</v>
      </c>
      <c r="AB43" s="38">
        <f t="shared" si="14"/>
        <v>1.5591833999999999E-2</v>
      </c>
      <c r="AC43" s="38">
        <f t="shared" si="14"/>
        <v>1.5591833999999999E-2</v>
      </c>
      <c r="AD43" s="38">
        <f t="shared" si="14"/>
        <v>1.5591833999999999E-2</v>
      </c>
      <c r="AE43" s="38">
        <f t="shared" si="14"/>
        <v>1.5591833999999999E-2</v>
      </c>
    </row>
    <row r="44" spans="2:31" x14ac:dyDescent="0.35">
      <c r="B44" s="99"/>
      <c r="C44" s="20" t="s">
        <v>143</v>
      </c>
      <c r="D44" s="44"/>
      <c r="E44" s="27"/>
      <c r="F44" s="23" t="s">
        <v>144</v>
      </c>
      <c r="G44" s="23" t="s">
        <v>128</v>
      </c>
      <c r="H44" s="38">
        <f>MAX((H42-H$14),0)*Data!$F$7</f>
        <v>0</v>
      </c>
      <c r="I44" s="38">
        <f>MAX((I42-I$14),0)*Data!$F$7</f>
        <v>0</v>
      </c>
      <c r="J44" s="38">
        <f>MAX((J42-J$14),0)*Data!$F$7</f>
        <v>0</v>
      </c>
      <c r="K44" s="38">
        <f>MAX((K42-K$14),0)*Data!$F$7</f>
        <v>0</v>
      </c>
      <c r="L44" s="38">
        <f>MAX((L42-L$14),0)*Data!$F$7</f>
        <v>0</v>
      </c>
      <c r="M44" s="38">
        <f>MAX((M42-M$14),0)*Data!$F$7</f>
        <v>0</v>
      </c>
      <c r="N44" s="38">
        <f>MAX((N42-N$14),0)*Data!$F$7</f>
        <v>0</v>
      </c>
      <c r="O44" s="38">
        <f>MAX((O42-O$14),0)*Data!$F$7</f>
        <v>0</v>
      </c>
      <c r="P44" s="38">
        <f>MAX((P42-P$14),0)*Data!$F$7</f>
        <v>0</v>
      </c>
      <c r="Q44" s="38">
        <f>MAX((Q42-Q$14),0)*Data!$F$7</f>
        <v>0</v>
      </c>
      <c r="R44" s="38">
        <f>MAX((R42-R$14),0)*Data!$F$7</f>
        <v>0</v>
      </c>
      <c r="S44" s="38">
        <f>MAX((S42-S$14),0)*Data!$F$7</f>
        <v>0</v>
      </c>
      <c r="T44" s="38">
        <f>MAX((T42-T$14),0)*Data!$F$7</f>
        <v>0</v>
      </c>
      <c r="U44" s="38">
        <f>MAX((U42-U$14),0)*Data!$F$7</f>
        <v>0</v>
      </c>
      <c r="V44" s="38">
        <f>MAX((V42-V$14),0)*Data!$F$7</f>
        <v>0</v>
      </c>
      <c r="W44" s="38">
        <f>MAX((W42-W$14),0)*Data!$F$7</f>
        <v>0</v>
      </c>
      <c r="X44" s="38">
        <f>MAX((X42-X$14),0)*Data!$F$7</f>
        <v>0</v>
      </c>
      <c r="Y44" s="38">
        <f>MAX((Y42-Y$14),0)*Data!$F$7</f>
        <v>0</v>
      </c>
      <c r="Z44" s="38">
        <f>MAX((Z42-Z$14),0)*Data!$F$7</f>
        <v>0</v>
      </c>
      <c r="AA44" s="38">
        <f>MAX((AA42-AA$14),0)*Data!$F$7</f>
        <v>9.7199083940298386E-2</v>
      </c>
      <c r="AB44" s="38">
        <f>MAX((AB42-AB$14),0)*Data!$F$7</f>
        <v>0.21235377533880601</v>
      </c>
      <c r="AC44" s="38">
        <f>MAX((AC42-AC$14),0)*Data!$F$7</f>
        <v>0.32750846673731354</v>
      </c>
      <c r="AD44" s="38">
        <f>MAX((AD42-AD$14),0)*Data!$F$7</f>
        <v>0.44266315813582113</v>
      </c>
      <c r="AE44" s="38">
        <f>MAX((AE42-AE$14),0)*Data!$F$7</f>
        <v>0.55781784953432823</v>
      </c>
    </row>
    <row r="45" spans="2:31" x14ac:dyDescent="0.35">
      <c r="B45" s="99"/>
      <c r="C45" s="46" t="s">
        <v>145</v>
      </c>
      <c r="D45" s="131" t="str">
        <f>'CCC Summary'!$C$55</f>
        <v>MMM Bio-methane Cost</v>
      </c>
      <c r="E45" s="102" t="s">
        <v>104</v>
      </c>
      <c r="F45" s="31" t="str">
        <f>IF('CCC Summary'!$C$41="Yes",'CCC Summary'!$D$41,"")</f>
        <v/>
      </c>
      <c r="G45" s="31" t="s">
        <v>120</v>
      </c>
      <c r="H45" s="141">
        <f>IF($D$45="Enter fixed price",'CCC Summary'!$C$56/(Data!$F$7*1000),INDEX(Data!$B$31:$AB$40,MATCH($D$45,Data!$B$31:$B$40,0),MATCH(H$13,Data!$B$31:$AB$31,0)))</f>
        <v>37.116841929982201</v>
      </c>
      <c r="I45" s="141">
        <f>IF($D$45="Enter fixed price",'CCC Summary'!$C$56/(Data!$F$7*1000),INDEX(Data!$B$31:$AB$40,MATCH($D$45,Data!$B$31:$B$40,0),MATCH(I$13,Data!$B$31:$AB$31,0)))</f>
        <v>37.733100403066011</v>
      </c>
      <c r="J45" s="141">
        <f>IF($D$45="Enter fixed price",'CCC Summary'!$C$56/(Data!$F$7*1000),INDEX(Data!$B$31:$AB$40,MATCH($D$45,Data!$B$31:$B$40,0),MATCH(J$13,Data!$B$31:$AB$31,0)))</f>
        <v>38.342146911849333</v>
      </c>
      <c r="K45" s="141">
        <f>IF($D$45="Enter fixed price",'CCC Summary'!$C$56/(Data!$F$7*1000),INDEX(Data!$B$31:$AB$40,MATCH($D$45,Data!$B$31:$B$40,0),MATCH(K$13,Data!$B$31:$AB$31,0)))</f>
        <v>38.940653333333337</v>
      </c>
      <c r="L45" s="141">
        <f>IF($D$45="Enter fixed price",'CCC Summary'!$C$56/(Data!$F$7*1000),INDEX(Data!$B$31:$AB$40,MATCH($D$45,Data!$B$31:$B$40,0),MATCH(L$13,Data!$B$31:$AB$31,0)))</f>
        <v>39.678942813058462</v>
      </c>
      <c r="M45" s="141">
        <f>IF($D$45="Enter fixed price",'CCC Summary'!$C$56/(Data!$F$7*1000),INDEX(Data!$B$31:$AB$40,MATCH($D$45,Data!$B$31:$B$40,0),MATCH(M$13,Data!$B$31:$AB$31,0)))</f>
        <v>40.406937977316012</v>
      </c>
      <c r="N45" s="141">
        <f>IF($D$45="Enter fixed price",'CCC Summary'!$C$56/(Data!$F$7*1000),INDEX(Data!$B$31:$AB$40,MATCH($D$45,Data!$B$31:$B$40,0),MATCH(N$13,Data!$B$31:$AB$31,0)))</f>
        <v>41.12659098936421</v>
      </c>
      <c r="O45" s="141">
        <f>IF($D$45="Enter fixed price",'CCC Summary'!$C$56/(Data!$F$7*1000),INDEX(Data!$B$31:$AB$40,MATCH($D$45,Data!$B$31:$B$40,0),MATCH(O$13,Data!$B$31:$AB$31,0)))</f>
        <v>41.833969319082563</v>
      </c>
      <c r="P45" s="141">
        <f>IF($D$45="Enter fixed price",'CCC Summary'!$C$56/(Data!$F$7*1000),INDEX(Data!$B$31:$AB$40,MATCH($D$45,Data!$B$31:$B$40,0),MATCH(P$13,Data!$B$31:$AB$31,0)))</f>
        <v>42.531053333333332</v>
      </c>
      <c r="Q45" s="141">
        <f>IF($D$45="Enter fixed price",'CCC Summary'!$C$56/(Data!$F$7*1000),INDEX(Data!$B$31:$AB$40,MATCH($D$45,Data!$B$31:$B$40,0),MATCH(Q$13,Data!$B$31:$AB$31,0)))</f>
        <v>43.412034814050593</v>
      </c>
      <c r="R45" s="141">
        <f>IF($D$45="Enter fixed price",'CCC Summary'!$C$56/(Data!$F$7*1000),INDEX(Data!$B$31:$AB$40,MATCH($D$45,Data!$B$31:$B$40,0),MATCH(R$13,Data!$B$31:$AB$31,0)))</f>
        <v>44.282938006995622</v>
      </c>
      <c r="S45" s="141">
        <f>IF($D$45="Enter fixed price",'CCC Summary'!$C$56/(Data!$F$7*1000),INDEX(Data!$B$31:$AB$40,MATCH($D$45,Data!$B$31:$B$40,0),MATCH(S$13,Data!$B$31:$AB$31,0)))</f>
        <v>45.139003878327202</v>
      </c>
      <c r="T45" s="141">
        <f>IF($D$45="Enter fixed price",'CCC Summary'!$C$56/(Data!$F$7*1000),INDEX(Data!$B$31:$AB$40,MATCH($D$45,Data!$B$31:$B$40,0),MATCH(T$13,Data!$B$31:$AB$31,0)))</f>
        <v>45.982628987106438</v>
      </c>
      <c r="U45" s="141">
        <f>IF($D$45="Enter fixed price",'CCC Summary'!$C$56/(Data!$F$7*1000),INDEX(Data!$B$31:$AB$40,MATCH($D$45,Data!$B$31:$B$40,0),MATCH(U$13,Data!$B$31:$AB$31,0)))</f>
        <v>46.813813333333343</v>
      </c>
      <c r="V45" s="141">
        <f>IF($D$45="Enter fixed price",'CCC Summary'!$C$56/(Data!$F$7*1000),INDEX(Data!$B$31:$AB$40,MATCH($D$45,Data!$B$31:$B$40,0),MATCH(V$13,Data!$B$31:$AB$31,0)))</f>
        <v>47.848447938395338</v>
      </c>
      <c r="W45" s="141">
        <f>IF($D$45="Enter fixed price",'CCC Summary'!$C$56/(Data!$F$7*1000),INDEX(Data!$B$31:$AB$40,MATCH($D$45,Data!$B$31:$B$40,0),MATCH(W$13,Data!$B$31:$AB$31,0)))</f>
        <v>48.865752394541651</v>
      </c>
      <c r="X45" s="141">
        <f>IF($D$45="Enter fixed price",'CCC Summary'!$C$56/(Data!$F$7*1000),INDEX(Data!$B$31:$AB$40,MATCH($D$45,Data!$B$31:$B$40,0),MATCH(X$13,Data!$B$31:$AB$31,0)))</f>
        <v>49.868573412604043</v>
      </c>
      <c r="Y45" s="141">
        <f>IF($D$45="Enter fixed price",'CCC Summary'!$C$56/(Data!$F$7*1000),INDEX(Data!$B$31:$AB$40,MATCH($D$45,Data!$B$31:$B$40,0),MATCH(Y$13,Data!$B$31:$AB$31,0)))</f>
        <v>50.856910992582527</v>
      </c>
      <c r="Z45" s="141">
        <f>IF($D$45="Enter fixed price",'CCC Summary'!$C$56/(Data!$F$7*1000),INDEX(Data!$B$31:$AB$40,MATCH($D$45,Data!$B$31:$B$40,0),MATCH(Z$13,Data!$B$31:$AB$31,0)))</f>
        <v>51.83341333333334</v>
      </c>
      <c r="AA45" s="141">
        <f>IF($D$45="Enter fixed price",'CCC Summary'!$C$56/(Data!$F$7*1000),INDEX(Data!$B$31:$AB$40,MATCH($D$45,Data!$B$31:$B$40,0),MATCH(AA$13,Data!$B$31:$AB$31,0)))</f>
        <v>53.064461879284543</v>
      </c>
      <c r="AB45" s="141">
        <f>IF($D$45="Enter fixed price",'CCC Summary'!$C$56/(Data!$F$7*1000),INDEX(Data!$B$31:$AB$40,MATCH($D$45,Data!$B$31:$B$40,0),MATCH(AB$13,Data!$B$31:$AB$31,0)))</f>
        <v>54.27838999249412</v>
      </c>
      <c r="AC45" s="141">
        <f>IF($D$45="Enter fixed price",'CCC Summary'!$C$56/(Data!$F$7*1000),INDEX(Data!$B$31:$AB$40,MATCH($D$45,Data!$B$31:$B$40,0),MATCH(AC$13,Data!$B$31:$AB$31,0)))</f>
        <v>55.475197672962103</v>
      </c>
      <c r="AD45" s="141">
        <f>IF($D$45="Enter fixed price",'CCC Summary'!$C$56/(Data!$F$7*1000),INDEX(Data!$B$31:$AB$40,MATCH($D$45,Data!$B$31:$B$40,0),MATCH(AD$13,Data!$B$31:$AB$31,0)))</f>
        <v>56.658093423643798</v>
      </c>
      <c r="AE45" s="141">
        <f>IF($D$45="Enter fixed price",'CCC Summary'!$C$56/(Data!$F$7*1000),INDEX(Data!$B$31:$AB$40,MATCH($D$45,Data!$B$31:$B$40,0),MATCH(AE$13,Data!$B$31:$AB$31,0)))</f>
        <v>57.820613333333341</v>
      </c>
    </row>
    <row r="46" spans="2:31" x14ac:dyDescent="0.35">
      <c r="B46" s="99" t="s">
        <v>31</v>
      </c>
      <c r="C46" s="20" t="s">
        <v>146</v>
      </c>
      <c r="D46" s="134" t="s">
        <v>31</v>
      </c>
      <c r="E46" s="27" t="s">
        <v>104</v>
      </c>
      <c r="F46" s="49"/>
      <c r="G46" s="23" t="s">
        <v>98</v>
      </c>
      <c r="H46" s="139">
        <f>INDEX($C$4:$O$8,MATCH($D$8,$C$4:$C$8,0),MATCH($D46,$C$4:$O$4,0))</f>
        <v>9.4311786567164155</v>
      </c>
      <c r="I46" s="139">
        <f t="shared" ref="I46:AE46" si="15">INDEX($C$4:$O$8,MATCH($D$8,$C$4:$C$8,0),MATCH($D46,$C$4:$O$4,0))</f>
        <v>9.4311786567164155</v>
      </c>
      <c r="J46" s="139">
        <f t="shared" si="15"/>
        <v>9.4311786567164155</v>
      </c>
      <c r="K46" s="139">
        <f t="shared" si="15"/>
        <v>9.4311786567164155</v>
      </c>
      <c r="L46" s="139">
        <f t="shared" si="15"/>
        <v>9.4311786567164155</v>
      </c>
      <c r="M46" s="139">
        <f t="shared" si="15"/>
        <v>9.4311786567164155</v>
      </c>
      <c r="N46" s="139">
        <f t="shared" si="15"/>
        <v>9.4311786567164155</v>
      </c>
      <c r="O46" s="139">
        <f t="shared" si="15"/>
        <v>9.4311786567164155</v>
      </c>
      <c r="P46" s="139">
        <f t="shared" si="15"/>
        <v>9.4311786567164155</v>
      </c>
      <c r="Q46" s="139">
        <f t="shared" si="15"/>
        <v>9.4311786567164155</v>
      </c>
      <c r="R46" s="139">
        <f t="shared" si="15"/>
        <v>9.4311786567164155</v>
      </c>
      <c r="S46" s="139">
        <f t="shared" si="15"/>
        <v>9.4311786567164155</v>
      </c>
      <c r="T46" s="139">
        <f t="shared" si="15"/>
        <v>9.4311786567164155</v>
      </c>
      <c r="U46" s="139">
        <f t="shared" si="15"/>
        <v>9.4311786567164155</v>
      </c>
      <c r="V46" s="139">
        <f t="shared" si="15"/>
        <v>9.4311786567164155</v>
      </c>
      <c r="W46" s="139">
        <f t="shared" si="15"/>
        <v>9.4311786567164155</v>
      </c>
      <c r="X46" s="139">
        <f t="shared" si="15"/>
        <v>9.4311786567164155</v>
      </c>
      <c r="Y46" s="139">
        <f t="shared" si="15"/>
        <v>9.4311786567164155</v>
      </c>
      <c r="Z46" s="139">
        <f t="shared" si="15"/>
        <v>9.4311786567164155</v>
      </c>
      <c r="AA46" s="139">
        <f t="shared" si="15"/>
        <v>9.4311786567164155</v>
      </c>
      <c r="AB46" s="139">
        <f t="shared" si="15"/>
        <v>9.4311786567164155</v>
      </c>
      <c r="AC46" s="139">
        <f t="shared" si="15"/>
        <v>9.4311786567164155</v>
      </c>
      <c r="AD46" s="139">
        <f t="shared" si="15"/>
        <v>9.4311786567164155</v>
      </c>
      <c r="AE46" s="139">
        <f t="shared" si="15"/>
        <v>9.4311786567164155</v>
      </c>
    </row>
    <row r="47" spans="2:31" x14ac:dyDescent="0.35">
      <c r="B47" s="99"/>
      <c r="C47" s="20" t="s">
        <v>147</v>
      </c>
      <c r="D47" s="44"/>
      <c r="E47" s="27" t="s">
        <v>114</v>
      </c>
      <c r="F47" s="23" t="s">
        <v>115</v>
      </c>
      <c r="G47" s="23" t="s">
        <v>116</v>
      </c>
      <c r="H47" s="38">
        <f>H46/1000</f>
        <v>9.4311786567164158E-3</v>
      </c>
      <c r="I47" s="38">
        <f t="shared" ref="I47:AE47" si="16">I46/1000</f>
        <v>9.4311786567164158E-3</v>
      </c>
      <c r="J47" s="38">
        <f t="shared" si="16"/>
        <v>9.4311786567164158E-3</v>
      </c>
      <c r="K47" s="38">
        <f t="shared" si="16"/>
        <v>9.4311786567164158E-3</v>
      </c>
      <c r="L47" s="38">
        <f t="shared" si="16"/>
        <v>9.4311786567164158E-3</v>
      </c>
      <c r="M47" s="38">
        <f t="shared" si="16"/>
        <v>9.4311786567164158E-3</v>
      </c>
      <c r="N47" s="38">
        <f t="shared" si="16"/>
        <v>9.4311786567164158E-3</v>
      </c>
      <c r="O47" s="38">
        <f t="shared" si="16"/>
        <v>9.4311786567164158E-3</v>
      </c>
      <c r="P47" s="38">
        <f t="shared" si="16"/>
        <v>9.4311786567164158E-3</v>
      </c>
      <c r="Q47" s="38">
        <f t="shared" si="16"/>
        <v>9.4311786567164158E-3</v>
      </c>
      <c r="R47" s="38">
        <f t="shared" si="16"/>
        <v>9.4311786567164158E-3</v>
      </c>
      <c r="S47" s="38">
        <f t="shared" si="16"/>
        <v>9.4311786567164158E-3</v>
      </c>
      <c r="T47" s="38">
        <f t="shared" si="16"/>
        <v>9.4311786567164158E-3</v>
      </c>
      <c r="U47" s="38">
        <f t="shared" si="16"/>
        <v>9.4311786567164158E-3</v>
      </c>
      <c r="V47" s="38">
        <f t="shared" si="16"/>
        <v>9.4311786567164158E-3</v>
      </c>
      <c r="W47" s="38">
        <f t="shared" si="16"/>
        <v>9.4311786567164158E-3</v>
      </c>
      <c r="X47" s="38">
        <f t="shared" si="16"/>
        <v>9.4311786567164158E-3</v>
      </c>
      <c r="Y47" s="38">
        <f t="shared" si="16"/>
        <v>9.4311786567164158E-3</v>
      </c>
      <c r="Z47" s="38">
        <f t="shared" si="16"/>
        <v>9.4311786567164158E-3</v>
      </c>
      <c r="AA47" s="38">
        <f t="shared" si="16"/>
        <v>9.4311786567164158E-3</v>
      </c>
      <c r="AB47" s="38">
        <f t="shared" si="16"/>
        <v>9.4311786567164158E-3</v>
      </c>
      <c r="AC47" s="38">
        <f t="shared" si="16"/>
        <v>9.4311786567164158E-3</v>
      </c>
      <c r="AD47" s="38">
        <f t="shared" si="16"/>
        <v>9.4311786567164158E-3</v>
      </c>
      <c r="AE47" s="38">
        <f t="shared" si="16"/>
        <v>9.4311786567164158E-3</v>
      </c>
    </row>
    <row r="48" spans="2:31" x14ac:dyDescent="0.35">
      <c r="B48" s="99"/>
      <c r="C48" s="20" t="s">
        <v>284</v>
      </c>
      <c r="D48" s="44"/>
      <c r="E48" s="27"/>
      <c r="F48" s="23" t="s">
        <v>148</v>
      </c>
      <c r="G48" s="23" t="s">
        <v>128</v>
      </c>
      <c r="H48" s="38">
        <f>MAX((H46-H$14),0)*Data!$F$7</f>
        <v>0</v>
      </c>
      <c r="I48" s="38">
        <f>MAX((I46-I$14),0)*Data!$F$7</f>
        <v>0</v>
      </c>
      <c r="J48" s="38">
        <f>MAX((J46-J$14),0)*Data!$F$7</f>
        <v>0</v>
      </c>
      <c r="K48" s="38">
        <f>MAX((K46-K$14),0)*Data!$F$7</f>
        <v>0</v>
      </c>
      <c r="L48" s="38">
        <f>MAX((L46-L$14),0)*Data!$F$7</f>
        <v>0</v>
      </c>
      <c r="M48" s="38">
        <f>MAX((M46-M$14),0)*Data!$F$7</f>
        <v>0</v>
      </c>
      <c r="N48" s="38">
        <f>MAX((N46-N$14),0)*Data!$F$7</f>
        <v>0</v>
      </c>
      <c r="O48" s="38">
        <f>MAX((O46-O$14),0)*Data!$F$7</f>
        <v>0</v>
      </c>
      <c r="P48" s="38">
        <f>MAX((P46-P$14),0)*Data!$F$7</f>
        <v>0</v>
      </c>
      <c r="Q48" s="38">
        <f>MAX((Q46-Q$14),0)*Data!$F$7</f>
        <v>0</v>
      </c>
      <c r="R48" s="38">
        <f>MAX((R46-R$14),0)*Data!$F$7</f>
        <v>0</v>
      </c>
      <c r="S48" s="38">
        <f>MAX((S46-S$14),0)*Data!$F$7</f>
        <v>0</v>
      </c>
      <c r="T48" s="38">
        <f>MAX((T46-T$14),0)*Data!$F$7</f>
        <v>0</v>
      </c>
      <c r="U48" s="38">
        <f>MAX((U46-U$14),0)*Data!$F$7</f>
        <v>0</v>
      </c>
      <c r="V48" s="38">
        <f>MAX((V46-V$14),0)*Data!$F$7</f>
        <v>0</v>
      </c>
      <c r="W48" s="38">
        <f>MAX((W46-W$14),0)*Data!$F$7</f>
        <v>0</v>
      </c>
      <c r="X48" s="38">
        <f>MAX((X46-X$14),0)*Data!$F$7</f>
        <v>0</v>
      </c>
      <c r="Y48" s="38">
        <f>MAX((Y46-Y$14),0)*Data!$F$7</f>
        <v>0</v>
      </c>
      <c r="Z48" s="38">
        <f>MAX((Z46-Z$14),0)*Data!$F$7</f>
        <v>0</v>
      </c>
      <c r="AA48" s="38">
        <f>MAX((AA46-AA$14),0)*Data!$F$7</f>
        <v>0</v>
      </c>
      <c r="AB48" s="38">
        <f>MAX((AB46-AB$14),0)*Data!$F$7</f>
        <v>0</v>
      </c>
      <c r="AC48" s="38">
        <f>MAX((AC46-AC$14),0)*Data!$F$7</f>
        <v>7.6769794265671723E-2</v>
      </c>
      <c r="AD48" s="38">
        <f>MAX((AD46-AD$14),0)*Data!$F$7</f>
        <v>0.19192448566417927</v>
      </c>
      <c r="AE48" s="38">
        <f>MAX((AE46-AE$14),0)*Data!$F$7</f>
        <v>0.30707917706268639</v>
      </c>
    </row>
    <row r="49" spans="2:31" x14ac:dyDescent="0.35">
      <c r="B49" s="99"/>
      <c r="C49" s="20" t="s">
        <v>287</v>
      </c>
      <c r="D49" s="130" t="str">
        <f>IF('CCC Summary'!$C$17="Two-tier","Striving "&amp;'CCC Summary'!$C$21,"No Tier 2")</f>
        <v>Striving Yearly</v>
      </c>
      <c r="E49" s="27" t="s">
        <v>275</v>
      </c>
      <c r="F49" s="23" t="s">
        <v>288</v>
      </c>
      <c r="G49" s="23" t="s">
        <v>128</v>
      </c>
      <c r="H49" s="38">
        <f>MAX(0,(H46-H$15)*Data!$F$7-H48)</f>
        <v>0</v>
      </c>
      <c r="I49" s="38">
        <f>MAX(0,(I46-I$15)*Data!$F$7-I48)</f>
        <v>0</v>
      </c>
      <c r="J49" s="38">
        <f>MAX(0,(J46-J$15)*Data!$F$7-J48)</f>
        <v>0</v>
      </c>
      <c r="K49" s="38">
        <f>MAX(0,(K46-K$15)*Data!$F$7-K48)</f>
        <v>0</v>
      </c>
      <c r="L49" s="38">
        <f>MAX(0,(L46-L$15)*Data!$F$7-L48)</f>
        <v>0</v>
      </c>
      <c r="M49" s="38">
        <f>MAX(0,(M46-M$15)*Data!$F$7-M48)</f>
        <v>0</v>
      </c>
      <c r="N49" s="38">
        <f>MAX(0,(N46-N$15)*Data!$F$7-N48)</f>
        <v>0</v>
      </c>
      <c r="O49" s="38">
        <f>MAX(0,(O46-O$15)*Data!$F$7-O48)</f>
        <v>0</v>
      </c>
      <c r="P49" s="38">
        <f>MAX(0,(P46-P$15)*Data!$F$7-P48)</f>
        <v>0</v>
      </c>
      <c r="Q49" s="38">
        <f>MAX(0,(Q46-Q$15)*Data!$F$7-Q48)</f>
        <v>0</v>
      </c>
      <c r="R49" s="38">
        <f>MAX(0,(R46-R$15)*Data!$F$7-R48)</f>
        <v>0</v>
      </c>
      <c r="S49" s="38">
        <f>MAX(0,(S46-S$15)*Data!$F$7-S48)</f>
        <v>0</v>
      </c>
      <c r="T49" s="38">
        <f>MAX(0,(T46-T$15)*Data!$F$7-T48)</f>
        <v>0</v>
      </c>
      <c r="U49" s="38">
        <f>MAX(0,(U46-U$15)*Data!$F$7-U48)</f>
        <v>0</v>
      </c>
      <c r="V49" s="38">
        <f>MAX(0,(V46-V$15)*Data!$F$7-V48)</f>
        <v>0</v>
      </c>
      <c r="W49" s="38">
        <f>MAX(0,(W46-W$15)*Data!$F$7-W48)</f>
        <v>0</v>
      </c>
      <c r="X49" s="38">
        <f>MAX(0,(X46-X$15)*Data!$F$7-X48)</f>
        <v>0</v>
      </c>
      <c r="Y49" s="38">
        <f>MAX(0,(Y46-Y$15)*Data!$F$7-Y48)</f>
        <v>0</v>
      </c>
      <c r="Z49" s="38">
        <f>MAX(0,(Z46-Z$15)*Data!$F$7-Z48)</f>
        <v>0</v>
      </c>
      <c r="AA49" s="38">
        <f>MAX(0,(AA46-AA$15)*Data!$F$7-AA48)</f>
        <v>3.0707917706268704E-2</v>
      </c>
      <c r="AB49" s="38">
        <f>MAX(0,(AB46-AB$15)*Data!$F$7-AB48)</f>
        <v>9.9800732545373236E-2</v>
      </c>
      <c r="AC49" s="38">
        <f>MAX(0,(AC46-AC$15)*Data!$F$7-AC48)</f>
        <v>9.2123753118806037E-2</v>
      </c>
      <c r="AD49" s="38">
        <f>MAX(0,(AD46-AD$15)*Data!$F$7-AD48)</f>
        <v>4.6061876559403025E-2</v>
      </c>
      <c r="AE49" s="38">
        <f>MAX(0,(AE46-AE$15)*Data!$F$7-AE48)</f>
        <v>0</v>
      </c>
    </row>
    <row r="50" spans="2:31" x14ac:dyDescent="0.35">
      <c r="B50" s="99"/>
      <c r="C50" s="20" t="s">
        <v>149</v>
      </c>
      <c r="D50" s="44"/>
      <c r="E50" s="27" t="s">
        <v>278</v>
      </c>
      <c r="F50" s="23" t="s">
        <v>148</v>
      </c>
      <c r="G50" s="23" t="s">
        <v>131</v>
      </c>
      <c r="H50" s="38">
        <f>MIN(IF($D$49="No Tier 2",(H46-H$14),(H46-H$15)),0)*Data!$F$7</f>
        <v>-3.1667540134589554</v>
      </c>
      <c r="I50" s="38">
        <f>MIN(IF($D$49="No Tier 2",(I46-I$14),(I46-I$15)),0)*Data!$F$7</f>
        <v>-2.9556370792283584</v>
      </c>
      <c r="J50" s="38">
        <f>MIN(IF($D$49="No Tier 2",(J46-J$14),(J46-J$15)),0)*Data!$F$7</f>
        <v>-2.7061352478649252</v>
      </c>
      <c r="K50" s="38">
        <f>MIN(IF($D$49="No Tier 2",(K46-K$14),(K46-K$15)),0)*Data!$F$7</f>
        <v>-2.5142107622007464</v>
      </c>
      <c r="L50" s="38">
        <f>MIN(IF($D$49="No Tier 2",(L46-L$14),(L46-L$15)),0)*Data!$F$7</f>
        <v>-2.3030938279701494</v>
      </c>
      <c r="M50" s="38">
        <f>MIN(IF($D$49="No Tier 2",(M46-M$14),(M46-M$15)),0)*Data!$F$7</f>
        <v>-2.091976893739552</v>
      </c>
      <c r="N50" s="38">
        <f>MIN(IF($D$49="No Tier 2",(N46-N$14),(N46-N$15)),0)*Data!$F$7</f>
        <v>-1.8808599595089552</v>
      </c>
      <c r="O50" s="38">
        <f>MIN(IF($D$49="No Tier 2",(O46-O$14),(O46-O$15)),0)*Data!$F$7</f>
        <v>-1.6889354738447764</v>
      </c>
      <c r="P50" s="38">
        <f>MIN(IF($D$49="No Tier 2",(P46-P$14),(P46-P$15)),0)*Data!$F$7</f>
        <v>-1.477818539614179</v>
      </c>
      <c r="Q50" s="38">
        <f>MIN(IF($D$49="No Tier 2",(Q46-Q$14),(Q46-Q$15)),0)*Data!$F$7</f>
        <v>-1.2705400950968655</v>
      </c>
      <c r="R50" s="38">
        <f>MIN(IF($D$49="No Tier 2",(R46-R$14),(R46-R$15)),0)*Data!$F$7</f>
        <v>-1.0632616505795518</v>
      </c>
      <c r="S50" s="38">
        <f>MIN(IF($D$49="No Tier 2",(S46-S$14),(S46-S$15)),0)*Data!$F$7</f>
        <v>-0.85598320606223821</v>
      </c>
      <c r="T50" s="38">
        <f>MIN(IF($D$49="No Tier 2",(T46-T$14),(T46-T$15)),0)*Data!$F$7</f>
        <v>-0.64870476154492474</v>
      </c>
      <c r="U50" s="38">
        <f>MIN(IF($D$49="No Tier 2",(U46-U$14),(U46-U$15)),0)*Data!$F$7</f>
        <v>-0.44142631702761193</v>
      </c>
      <c r="V50" s="38">
        <f>MIN(IF($D$49="No Tier 2",(V46-V$14),(V46-V$15)),0)*Data!$F$7</f>
        <v>-0.36081803304865667</v>
      </c>
      <c r="W50" s="38">
        <f>MIN(IF($D$49="No Tier 2",(W46-W$14),(W46-W$15)),0)*Data!$F$7</f>
        <v>-0.28020974906970131</v>
      </c>
      <c r="X50" s="38">
        <f>MIN(IF($D$49="No Tier 2",(X46-X$14),(X46-X$15)),0)*Data!$F$7</f>
        <v>-0.19960146509074603</v>
      </c>
      <c r="Y50" s="38">
        <f>MIN(IF($D$49="No Tier 2",(Y46-Y$14),(Y46-Y$15)),0)*Data!$F$7</f>
        <v>-0.11899318111179072</v>
      </c>
      <c r="Z50" s="38">
        <f>MIN(IF($D$49="No Tier 2",(Z46-Z$14),(Z46-Z$15)),0)*Data!$F$7</f>
        <v>-3.8384897132835827E-2</v>
      </c>
      <c r="AA50" s="38">
        <f>MIN(IF($D$49="No Tier 2",(AA46-AA$14),(AA46-AA$15)),0)*Data!$F$7</f>
        <v>0</v>
      </c>
      <c r="AB50" s="38">
        <f>MIN(IF($D$49="No Tier 2",(AB46-AB$14),(AB46-AB$15)),0)*Data!$F$7</f>
        <v>0</v>
      </c>
      <c r="AC50" s="38">
        <f>MIN(IF($D$49="No Tier 2",(AC46-AC$14),(AC46-AC$15)),0)*Data!$F$7</f>
        <v>0</v>
      </c>
      <c r="AD50" s="38">
        <f>MIN(IF($D$49="No Tier 2",(AD46-AD$14),(AD46-AD$15)),0)*Data!$F$7</f>
        <v>0</v>
      </c>
      <c r="AE50" s="38">
        <f>MIN(IF($D$49="No Tier 2",(AE46-AE$14),(AE46-AE$15)),0)*Data!$F$7</f>
        <v>0</v>
      </c>
    </row>
    <row r="51" spans="2:31" x14ac:dyDescent="0.35">
      <c r="B51" s="99"/>
      <c r="C51" s="20" t="s">
        <v>150</v>
      </c>
      <c r="D51" s="131" t="str">
        <f>'CCC Summary'!$C$62</f>
        <v>Enter fixed price</v>
      </c>
      <c r="E51" s="27" t="s">
        <v>104</v>
      </c>
      <c r="F51" s="23" t="str">
        <f>IF('CCC Summary'!$C$41="Yes",'CCC Summary'!$D$41,"")</f>
        <v/>
      </c>
      <c r="G51" s="23" t="s">
        <v>120</v>
      </c>
      <c r="H51" s="38">
        <f>IF($D$51="Enter fixed price",'CCC Summary'!$C$63/(Data!$F$7*1000),INDEX(Data!$B$31:$AB$40,MATCH($D$51,Data!$B$31:$B$40,0),MATCH(H$13,Data!$B$31:$AB$31,0)))</f>
        <v>41.769041769041763</v>
      </c>
      <c r="I51" s="38">
        <f>IF($D$51="Enter fixed price",'CCC Summary'!$C$63/(Data!$F$7*1000),INDEX(Data!$B$31:$AB$40,MATCH($D$51,Data!$B$31:$B$40,0),MATCH(I$13,Data!$B$31:$AB$31,0)))</f>
        <v>41.769041769041763</v>
      </c>
      <c r="J51" s="38">
        <f>IF($D$51="Enter fixed price",'CCC Summary'!$C$63/(Data!$F$7*1000),INDEX(Data!$B$31:$AB$40,MATCH($D$51,Data!$B$31:$B$40,0),MATCH(J$13,Data!$B$31:$AB$31,0)))</f>
        <v>41.769041769041763</v>
      </c>
      <c r="K51" s="38">
        <f>IF($D$51="Enter fixed price",'CCC Summary'!$C$63/(Data!$F$7*1000),INDEX(Data!$B$31:$AB$40,MATCH($D$51,Data!$B$31:$B$40,0),MATCH(K$13,Data!$B$31:$AB$31,0)))</f>
        <v>41.769041769041763</v>
      </c>
      <c r="L51" s="38">
        <f>IF($D$51="Enter fixed price",'CCC Summary'!$C$63/(Data!$F$7*1000),INDEX(Data!$B$31:$AB$40,MATCH($D$51,Data!$B$31:$B$40,0),MATCH(L$13,Data!$B$31:$AB$31,0)))</f>
        <v>41.769041769041763</v>
      </c>
      <c r="M51" s="38">
        <f>IF($D$51="Enter fixed price",'CCC Summary'!$C$63/(Data!$F$7*1000),INDEX(Data!$B$31:$AB$40,MATCH($D$51,Data!$B$31:$B$40,0),MATCH(M$13,Data!$B$31:$AB$31,0)))</f>
        <v>41.769041769041763</v>
      </c>
      <c r="N51" s="38">
        <f>IF($D$51="Enter fixed price",'CCC Summary'!$C$63/(Data!$F$7*1000),INDEX(Data!$B$31:$AB$40,MATCH($D$51,Data!$B$31:$B$40,0),MATCH(N$13,Data!$B$31:$AB$31,0)))</f>
        <v>41.769041769041763</v>
      </c>
      <c r="O51" s="38">
        <f>IF($D$51="Enter fixed price",'CCC Summary'!$C$63/(Data!$F$7*1000),INDEX(Data!$B$31:$AB$40,MATCH($D$51,Data!$B$31:$B$40,0),MATCH(O$13,Data!$B$31:$AB$31,0)))</f>
        <v>41.769041769041763</v>
      </c>
      <c r="P51" s="38">
        <f>IF($D$51="Enter fixed price",'CCC Summary'!$C$63/(Data!$F$7*1000),INDEX(Data!$B$31:$AB$40,MATCH($D$51,Data!$B$31:$B$40,0),MATCH(P$13,Data!$B$31:$AB$31,0)))</f>
        <v>41.769041769041763</v>
      </c>
      <c r="Q51" s="38">
        <f>IF($D$51="Enter fixed price",'CCC Summary'!$C$63/(Data!$F$7*1000),INDEX(Data!$B$31:$AB$40,MATCH($D$51,Data!$B$31:$B$40,0),MATCH(Q$13,Data!$B$31:$AB$31,0)))</f>
        <v>41.769041769041763</v>
      </c>
      <c r="R51" s="38">
        <f>IF($D$51="Enter fixed price",'CCC Summary'!$C$63/(Data!$F$7*1000),INDEX(Data!$B$31:$AB$40,MATCH($D$51,Data!$B$31:$B$40,0),MATCH(R$13,Data!$B$31:$AB$31,0)))</f>
        <v>41.769041769041763</v>
      </c>
      <c r="S51" s="38">
        <f>IF($D$51="Enter fixed price",'CCC Summary'!$C$63/(Data!$F$7*1000),INDEX(Data!$B$31:$AB$40,MATCH($D$51,Data!$B$31:$B$40,0),MATCH(S$13,Data!$B$31:$AB$31,0)))</f>
        <v>41.769041769041763</v>
      </c>
      <c r="T51" s="38">
        <f>IF($D$51="Enter fixed price",'CCC Summary'!$C$63/(Data!$F$7*1000),INDEX(Data!$B$31:$AB$40,MATCH($D$51,Data!$B$31:$B$40,0),MATCH(T$13,Data!$B$31:$AB$31,0)))</f>
        <v>41.769041769041763</v>
      </c>
      <c r="U51" s="38">
        <f>IF($D$51="Enter fixed price",'CCC Summary'!$C$63/(Data!$F$7*1000),INDEX(Data!$B$31:$AB$40,MATCH($D$51,Data!$B$31:$B$40,0),MATCH(U$13,Data!$B$31:$AB$31,0)))</f>
        <v>41.769041769041763</v>
      </c>
      <c r="V51" s="38">
        <f>IF($D$51="Enter fixed price",'CCC Summary'!$C$63/(Data!$F$7*1000),INDEX(Data!$B$31:$AB$40,MATCH($D$51,Data!$B$31:$B$40,0),MATCH(V$13,Data!$B$31:$AB$31,0)))</f>
        <v>41.769041769041763</v>
      </c>
      <c r="W51" s="38">
        <f>IF($D$51="Enter fixed price",'CCC Summary'!$C$63/(Data!$F$7*1000),INDEX(Data!$B$31:$AB$40,MATCH($D$51,Data!$B$31:$B$40,0),MATCH(W$13,Data!$B$31:$AB$31,0)))</f>
        <v>41.769041769041763</v>
      </c>
      <c r="X51" s="38">
        <f>IF($D$51="Enter fixed price",'CCC Summary'!$C$63/(Data!$F$7*1000),INDEX(Data!$B$31:$AB$40,MATCH($D$51,Data!$B$31:$B$40,0),MATCH(X$13,Data!$B$31:$AB$31,0)))</f>
        <v>41.769041769041763</v>
      </c>
      <c r="Y51" s="38">
        <f>IF($D$51="Enter fixed price",'CCC Summary'!$C$63/(Data!$F$7*1000),INDEX(Data!$B$31:$AB$40,MATCH($D$51,Data!$B$31:$B$40,0),MATCH(Y$13,Data!$B$31:$AB$31,0)))</f>
        <v>41.769041769041763</v>
      </c>
      <c r="Z51" s="38">
        <f>IF($D$51="Enter fixed price",'CCC Summary'!$C$63/(Data!$F$7*1000),INDEX(Data!$B$31:$AB$40,MATCH($D$51,Data!$B$31:$B$40,0),MATCH(Z$13,Data!$B$31:$AB$31,0)))</f>
        <v>41.769041769041763</v>
      </c>
      <c r="AA51" s="38">
        <f>IF($D$51="Enter fixed price",'CCC Summary'!$C$63/(Data!$F$7*1000),INDEX(Data!$B$31:$AB$40,MATCH($D$51,Data!$B$31:$B$40,0),MATCH(AA$13,Data!$B$31:$AB$31,0)))</f>
        <v>41.769041769041763</v>
      </c>
      <c r="AB51" s="38">
        <f>IF($D$51="Enter fixed price",'CCC Summary'!$C$63/(Data!$F$7*1000),INDEX(Data!$B$31:$AB$40,MATCH($D$51,Data!$B$31:$B$40,0),MATCH(AB$13,Data!$B$31:$AB$31,0)))</f>
        <v>41.769041769041763</v>
      </c>
      <c r="AC51" s="38">
        <f>IF($D$51="Enter fixed price",'CCC Summary'!$C$63/(Data!$F$7*1000),INDEX(Data!$B$31:$AB$40,MATCH($D$51,Data!$B$31:$B$40,0),MATCH(AC$13,Data!$B$31:$AB$31,0)))</f>
        <v>41.769041769041763</v>
      </c>
      <c r="AD51" s="38">
        <f>IF($D$51="Enter fixed price",'CCC Summary'!$C$63/(Data!$F$7*1000),INDEX(Data!$B$31:$AB$40,MATCH($D$51,Data!$B$31:$B$40,0),MATCH(AD$13,Data!$B$31:$AB$31,0)))</f>
        <v>41.769041769041763</v>
      </c>
      <c r="AE51" s="38">
        <f>IF($D$51="Enter fixed price",'CCC Summary'!$C$63/(Data!$F$7*1000),INDEX(Data!$B$31:$AB$40,MATCH($D$51,Data!$B$31:$B$40,0),MATCH(AE$13,Data!$B$31:$AB$31,0)))</f>
        <v>41.769041769041763</v>
      </c>
    </row>
    <row r="53" spans="2:31" x14ac:dyDescent="0.35">
      <c r="C53" s="24" t="s">
        <v>151</v>
      </c>
    </row>
    <row r="54" spans="2:31" x14ac:dyDescent="0.35">
      <c r="C54" s="48" t="s">
        <v>152</v>
      </c>
      <c r="D54" s="128" t="s">
        <v>111</v>
      </c>
      <c r="E54" s="93" t="s">
        <v>75</v>
      </c>
      <c r="F54" s="93" t="s">
        <v>93</v>
      </c>
      <c r="G54" s="40" t="s">
        <v>94</v>
      </c>
      <c r="H54" s="136">
        <v>2027</v>
      </c>
      <c r="I54" s="137">
        <v>2028</v>
      </c>
      <c r="J54" s="137">
        <v>2029</v>
      </c>
      <c r="K54" s="137">
        <v>2030</v>
      </c>
      <c r="L54" s="137">
        <v>2031</v>
      </c>
      <c r="M54" s="137">
        <v>2032</v>
      </c>
      <c r="N54" s="137">
        <v>2033</v>
      </c>
      <c r="O54" s="137">
        <v>2034</v>
      </c>
      <c r="P54" s="137">
        <v>2035</v>
      </c>
      <c r="Q54" s="136">
        <v>2036</v>
      </c>
      <c r="R54" s="136">
        <v>2037</v>
      </c>
      <c r="S54" s="137">
        <v>2038</v>
      </c>
      <c r="T54" s="137">
        <v>2039</v>
      </c>
      <c r="U54" s="137">
        <v>2040</v>
      </c>
      <c r="V54" s="137">
        <v>2041</v>
      </c>
      <c r="W54" s="137">
        <v>2042</v>
      </c>
      <c r="X54" s="137">
        <v>2043</v>
      </c>
      <c r="Y54" s="137">
        <v>2044</v>
      </c>
      <c r="Z54" s="137">
        <v>2045</v>
      </c>
      <c r="AA54" s="136">
        <v>2046</v>
      </c>
      <c r="AB54" s="136">
        <v>2047</v>
      </c>
      <c r="AC54" s="137">
        <v>2048</v>
      </c>
      <c r="AD54" s="137">
        <v>2049</v>
      </c>
      <c r="AE54" s="137">
        <v>2050</v>
      </c>
    </row>
    <row r="55" spans="2:31" x14ac:dyDescent="0.35">
      <c r="C55" t="s">
        <v>31</v>
      </c>
      <c r="D55" s="131" t="str">
        <f>'CCC Summary'!$C$37</f>
        <v>No</v>
      </c>
      <c r="E55" s="91" t="s">
        <v>310</v>
      </c>
      <c r="F55" s="92" t="s">
        <v>154</v>
      </c>
      <c r="G55" s="91" t="s">
        <v>155</v>
      </c>
      <c r="H55" s="142" t="str">
        <f>IF($D55="No","NA",H113-H16-H17)</f>
        <v>NA</v>
      </c>
      <c r="I55" s="142" t="str">
        <f t="shared" ref="I55:AE55" si="17">IF($D55="No","NA",I113-I16-I17)</f>
        <v>NA</v>
      </c>
      <c r="J55" s="142" t="str">
        <f t="shared" si="17"/>
        <v>NA</v>
      </c>
      <c r="K55" s="142" t="str">
        <f t="shared" si="17"/>
        <v>NA</v>
      </c>
      <c r="L55" s="142" t="str">
        <f t="shared" si="17"/>
        <v>NA</v>
      </c>
      <c r="M55" s="142" t="str">
        <f t="shared" si="17"/>
        <v>NA</v>
      </c>
      <c r="N55" s="142" t="str">
        <f t="shared" si="17"/>
        <v>NA</v>
      </c>
      <c r="O55" s="142" t="str">
        <f t="shared" si="17"/>
        <v>NA</v>
      </c>
      <c r="P55" s="142" t="str">
        <f t="shared" si="17"/>
        <v>NA</v>
      </c>
      <c r="Q55" s="142" t="str">
        <f t="shared" si="17"/>
        <v>NA</v>
      </c>
      <c r="R55" s="142" t="str">
        <f t="shared" si="17"/>
        <v>NA</v>
      </c>
      <c r="S55" s="142" t="str">
        <f t="shared" si="17"/>
        <v>NA</v>
      </c>
      <c r="T55" s="142" t="str">
        <f t="shared" si="17"/>
        <v>NA</v>
      </c>
      <c r="U55" s="142" t="str">
        <f t="shared" si="17"/>
        <v>NA</v>
      </c>
      <c r="V55" s="142" t="str">
        <f t="shared" si="17"/>
        <v>NA</v>
      </c>
      <c r="W55" s="142" t="str">
        <f t="shared" si="17"/>
        <v>NA</v>
      </c>
      <c r="X55" s="142" t="str">
        <f t="shared" si="17"/>
        <v>NA</v>
      </c>
      <c r="Y55" s="142" t="str">
        <f t="shared" si="17"/>
        <v>NA</v>
      </c>
      <c r="Z55" s="142" t="str">
        <f t="shared" si="17"/>
        <v>NA</v>
      </c>
      <c r="AA55" s="142" t="str">
        <f t="shared" si="17"/>
        <v>NA</v>
      </c>
      <c r="AB55" s="142" t="str">
        <f t="shared" si="17"/>
        <v>NA</v>
      </c>
      <c r="AC55" s="142" t="str">
        <f t="shared" si="17"/>
        <v>NA</v>
      </c>
      <c r="AD55" s="142" t="str">
        <f t="shared" si="17"/>
        <v>NA</v>
      </c>
      <c r="AE55" s="142" t="str">
        <f t="shared" si="17"/>
        <v>NA</v>
      </c>
    </row>
    <row r="56" spans="2:31" x14ac:dyDescent="0.35">
      <c r="C56" t="s">
        <v>156</v>
      </c>
      <c r="D56" s="131" t="str">
        <f>'CCC Summary'!$C$35</f>
        <v>Yes</v>
      </c>
      <c r="E56" s="91" t="s">
        <v>153</v>
      </c>
      <c r="F56"/>
      <c r="G56" s="91" t="s">
        <v>155</v>
      </c>
      <c r="H56" s="142">
        <f>IF($D56="No","NA",H66-H16)</f>
        <v>230.08666789435733</v>
      </c>
      <c r="I56" s="142">
        <f t="shared" ref="I56:AE56" si="18">IF($D56="No","NA",I66-I16)</f>
        <v>251.76152145250202</v>
      </c>
      <c r="J56" s="142">
        <f t="shared" si="18"/>
        <v>273.43637501064654</v>
      </c>
      <c r="K56" s="142">
        <f t="shared" si="18"/>
        <v>295.11122856878904</v>
      </c>
      <c r="L56" s="142">
        <f>IF($D56="No","NA",L66-L16)</f>
        <v>313.04046352123032</v>
      </c>
      <c r="M56" s="142">
        <f t="shared" si="18"/>
        <v>330.96969847367154</v>
      </c>
      <c r="N56" s="142">
        <f t="shared" si="18"/>
        <v>348.89893342611293</v>
      </c>
      <c r="O56" s="142">
        <f t="shared" si="18"/>
        <v>366.82816837855415</v>
      </c>
      <c r="P56" s="142">
        <f t="shared" si="18"/>
        <v>384.75740333099543</v>
      </c>
      <c r="Q56" s="142">
        <f t="shared" si="18"/>
        <v>402.68663828343671</v>
      </c>
      <c r="R56" s="142">
        <f t="shared" si="18"/>
        <v>420.61587323587798</v>
      </c>
      <c r="S56" s="142">
        <f t="shared" si="18"/>
        <v>438.54510818831932</v>
      </c>
      <c r="T56" s="142">
        <f t="shared" si="18"/>
        <v>456.4743431407606</v>
      </c>
      <c r="U56" s="142">
        <f t="shared" si="18"/>
        <v>474.40357809320182</v>
      </c>
      <c r="V56" s="142">
        <f t="shared" si="18"/>
        <v>491.05215340618309</v>
      </c>
      <c r="W56" s="142">
        <f t="shared" si="18"/>
        <v>507.70072871916415</v>
      </c>
      <c r="X56" s="142">
        <f t="shared" si="18"/>
        <v>524.34930403214548</v>
      </c>
      <c r="Y56" s="142">
        <f t="shared" si="18"/>
        <v>540.99787934512653</v>
      </c>
      <c r="Z56" s="142">
        <f t="shared" si="18"/>
        <v>557.64645465810781</v>
      </c>
      <c r="AA56" s="142">
        <f t="shared" si="18"/>
        <v>574.29502997108898</v>
      </c>
      <c r="AB56" s="142">
        <f t="shared" si="18"/>
        <v>590.94360528407003</v>
      </c>
      <c r="AC56" s="142">
        <f t="shared" si="18"/>
        <v>607.59218059705142</v>
      </c>
      <c r="AD56" s="142">
        <f t="shared" si="18"/>
        <v>624.24075591003248</v>
      </c>
      <c r="AE56" s="142">
        <f t="shared" si="18"/>
        <v>640.88933122301376</v>
      </c>
    </row>
    <row r="57" spans="2:31" x14ac:dyDescent="0.35">
      <c r="C57" t="s">
        <v>157</v>
      </c>
      <c r="D57" s="131" t="str">
        <f>'CCC Summary'!$C$36</f>
        <v>Yes</v>
      </c>
      <c r="E57" s="91" t="s">
        <v>153</v>
      </c>
      <c r="F57"/>
      <c r="G57" s="91" t="s">
        <v>155</v>
      </c>
      <c r="H57" s="142">
        <f t="shared" ref="H57:AE57" si="19">IF($D57="No","NA",H88-H16)</f>
        <v>372.52316153294765</v>
      </c>
      <c r="I57" s="142">
        <f t="shared" si="19"/>
        <v>400.07736515434755</v>
      </c>
      <c r="J57" s="142">
        <f t="shared" si="19"/>
        <v>427.51243625185032</v>
      </c>
      <c r="K57" s="142">
        <f t="shared" si="19"/>
        <v>454.77339844507316</v>
      </c>
      <c r="L57" s="142">
        <f t="shared" si="19"/>
        <v>467.05452451134806</v>
      </c>
      <c r="M57" s="142">
        <f t="shared" si="19"/>
        <v>479.16560151299274</v>
      </c>
      <c r="N57" s="142">
        <f t="shared" si="19"/>
        <v>491.1388767166768</v>
      </c>
      <c r="O57" s="142">
        <f t="shared" si="19"/>
        <v>502.90938970121209</v>
      </c>
      <c r="P57" s="142">
        <f t="shared" si="19"/>
        <v>514.50985362111692</v>
      </c>
      <c r="Q57" s="142">
        <f t="shared" si="19"/>
        <v>529.47005367164707</v>
      </c>
      <c r="R57" s="142">
        <f t="shared" si="19"/>
        <v>544.26377316170294</v>
      </c>
      <c r="S57" s="142">
        <f t="shared" si="19"/>
        <v>558.81239887452477</v>
      </c>
      <c r="T57" s="142">
        <f t="shared" si="19"/>
        <v>573.15551893308748</v>
      </c>
      <c r="U57" s="142">
        <f t="shared" si="19"/>
        <v>587.29313333739117</v>
      </c>
      <c r="V57" s="142">
        <f t="shared" si="19"/>
        <v>604.78013415103283</v>
      </c>
      <c r="W57" s="142">
        <f t="shared" si="19"/>
        <v>621.98086283494433</v>
      </c>
      <c r="X57" s="142">
        <f t="shared" si="19"/>
        <v>638.9423434497096</v>
      </c>
      <c r="Y57" s="142">
        <f t="shared" si="19"/>
        <v>655.66457599532851</v>
      </c>
      <c r="Z57" s="142">
        <f t="shared" si="19"/>
        <v>672.19130536575506</v>
      </c>
      <c r="AA57" s="142">
        <f t="shared" si="19"/>
        <v>692.87044208624923</v>
      </c>
      <c r="AB57" s="142">
        <f t="shared" si="19"/>
        <v>713.26677092282443</v>
      </c>
      <c r="AC57" s="142">
        <f t="shared" si="19"/>
        <v>733.38029187548102</v>
      </c>
      <c r="AD57" s="142">
        <f t="shared" si="19"/>
        <v>753.26400535285541</v>
      </c>
      <c r="AE57" s="142">
        <f t="shared" si="19"/>
        <v>772.81113572155357</v>
      </c>
    </row>
    <row r="58" spans="2:31" x14ac:dyDescent="0.35">
      <c r="C58" t="s">
        <v>108</v>
      </c>
      <c r="D58" s="130" t="s">
        <v>6</v>
      </c>
      <c r="E58" s="91" t="s">
        <v>158</v>
      </c>
      <c r="F58"/>
      <c r="G58" s="91" t="s">
        <v>159</v>
      </c>
      <c r="H58" s="142">
        <f>$D$18</f>
        <v>600</v>
      </c>
      <c r="I58" s="142">
        <f t="shared" ref="I58:AE58" si="20">$D$18</f>
        <v>600</v>
      </c>
      <c r="J58" s="142">
        <f t="shared" si="20"/>
        <v>600</v>
      </c>
      <c r="K58" s="142">
        <f t="shared" si="20"/>
        <v>600</v>
      </c>
      <c r="L58" s="142">
        <f t="shared" si="20"/>
        <v>600</v>
      </c>
      <c r="M58" s="142">
        <f t="shared" si="20"/>
        <v>600</v>
      </c>
      <c r="N58" s="142">
        <f t="shared" si="20"/>
        <v>600</v>
      </c>
      <c r="O58" s="142">
        <f t="shared" si="20"/>
        <v>600</v>
      </c>
      <c r="P58" s="142">
        <f t="shared" si="20"/>
        <v>600</v>
      </c>
      <c r="Q58" s="142">
        <f t="shared" si="20"/>
        <v>600</v>
      </c>
      <c r="R58" s="142">
        <f t="shared" si="20"/>
        <v>600</v>
      </c>
      <c r="S58" s="142">
        <f t="shared" si="20"/>
        <v>600</v>
      </c>
      <c r="T58" s="142">
        <f t="shared" si="20"/>
        <v>600</v>
      </c>
      <c r="U58" s="142">
        <f t="shared" si="20"/>
        <v>600</v>
      </c>
      <c r="V58" s="142">
        <f t="shared" si="20"/>
        <v>600</v>
      </c>
      <c r="W58" s="142">
        <f t="shared" si="20"/>
        <v>600</v>
      </c>
      <c r="X58" s="142">
        <f t="shared" si="20"/>
        <v>600</v>
      </c>
      <c r="Y58" s="142">
        <f t="shared" si="20"/>
        <v>600</v>
      </c>
      <c r="Z58" s="142">
        <f t="shared" si="20"/>
        <v>600</v>
      </c>
      <c r="AA58" s="142">
        <f t="shared" si="20"/>
        <v>600</v>
      </c>
      <c r="AB58" s="142">
        <f t="shared" si="20"/>
        <v>600</v>
      </c>
      <c r="AC58" s="142">
        <f t="shared" si="20"/>
        <v>600</v>
      </c>
      <c r="AD58" s="142">
        <f t="shared" si="20"/>
        <v>600</v>
      </c>
      <c r="AE58" s="142">
        <f t="shared" si="20"/>
        <v>600</v>
      </c>
    </row>
    <row r="59" spans="2:31" x14ac:dyDescent="0.35">
      <c r="C59" t="s">
        <v>160</v>
      </c>
      <c r="D59"/>
      <c r="E59" s="91" t="s">
        <v>161</v>
      </c>
      <c r="F59"/>
      <c r="G59" s="91" t="s">
        <v>162</v>
      </c>
      <c r="H59" s="142">
        <f>MIN(H55:H58)</f>
        <v>230.08666789435733</v>
      </c>
      <c r="I59" s="142">
        <f t="shared" ref="I59:AE59" si="21">MIN(I55:I58)</f>
        <v>251.76152145250202</v>
      </c>
      <c r="J59" s="142">
        <f t="shared" si="21"/>
        <v>273.43637501064654</v>
      </c>
      <c r="K59" s="142">
        <f t="shared" si="21"/>
        <v>295.11122856878904</v>
      </c>
      <c r="L59" s="142">
        <f t="shared" si="21"/>
        <v>313.04046352123032</v>
      </c>
      <c r="M59" s="142">
        <f t="shared" si="21"/>
        <v>330.96969847367154</v>
      </c>
      <c r="N59" s="142">
        <f t="shared" si="21"/>
        <v>348.89893342611293</v>
      </c>
      <c r="O59" s="142">
        <f t="shared" si="21"/>
        <v>366.82816837855415</v>
      </c>
      <c r="P59" s="142">
        <f t="shared" si="21"/>
        <v>384.75740333099543</v>
      </c>
      <c r="Q59" s="142">
        <f t="shared" si="21"/>
        <v>402.68663828343671</v>
      </c>
      <c r="R59" s="142">
        <f t="shared" si="21"/>
        <v>420.61587323587798</v>
      </c>
      <c r="S59" s="142">
        <f t="shared" si="21"/>
        <v>438.54510818831932</v>
      </c>
      <c r="T59" s="142">
        <f t="shared" si="21"/>
        <v>456.4743431407606</v>
      </c>
      <c r="U59" s="142">
        <f t="shared" si="21"/>
        <v>474.40357809320182</v>
      </c>
      <c r="V59" s="142">
        <f t="shared" si="21"/>
        <v>491.05215340618309</v>
      </c>
      <c r="W59" s="142">
        <f t="shared" si="21"/>
        <v>507.70072871916415</v>
      </c>
      <c r="X59" s="142">
        <f t="shared" si="21"/>
        <v>524.34930403214548</v>
      </c>
      <c r="Y59" s="142">
        <f t="shared" si="21"/>
        <v>540.99787934512653</v>
      </c>
      <c r="Z59" s="142">
        <f t="shared" si="21"/>
        <v>557.64645465810781</v>
      </c>
      <c r="AA59" s="142">
        <f t="shared" si="21"/>
        <v>574.29502997108898</v>
      </c>
      <c r="AB59" s="142">
        <f t="shared" si="21"/>
        <v>590.94360528407003</v>
      </c>
      <c r="AC59" s="142">
        <f t="shared" si="21"/>
        <v>600</v>
      </c>
      <c r="AD59" s="142">
        <f t="shared" si="21"/>
        <v>600</v>
      </c>
      <c r="AE59" s="142">
        <f t="shared" si="21"/>
        <v>600</v>
      </c>
    </row>
    <row r="60" spans="2:31" x14ac:dyDescent="0.35">
      <c r="D60"/>
      <c r="E60"/>
      <c r="F60"/>
      <c r="G60"/>
    </row>
    <row r="62" spans="2:31" x14ac:dyDescent="0.35">
      <c r="C62" s="24" t="s">
        <v>163</v>
      </c>
      <c r="D62" s="27"/>
      <c r="E62" s="27"/>
      <c r="F62" s="23"/>
      <c r="G62" s="23"/>
    </row>
    <row r="63" spans="2:31" s="103" customFormat="1" x14ac:dyDescent="0.35">
      <c r="B63" s="90"/>
      <c r="C63" s="48" t="s">
        <v>110</v>
      </c>
      <c r="D63" s="93" t="s">
        <v>111</v>
      </c>
      <c r="E63" s="93" t="s">
        <v>75</v>
      </c>
      <c r="F63" s="93" t="s">
        <v>93</v>
      </c>
      <c r="G63" s="40" t="s">
        <v>94</v>
      </c>
      <c r="H63" s="136">
        <v>2027</v>
      </c>
      <c r="I63" s="137">
        <v>2028</v>
      </c>
      <c r="J63" s="137">
        <v>2029</v>
      </c>
      <c r="K63" s="137">
        <v>2030</v>
      </c>
      <c r="L63" s="137">
        <v>2031</v>
      </c>
      <c r="M63" s="137">
        <v>2032</v>
      </c>
      <c r="N63" s="137">
        <v>2033</v>
      </c>
      <c r="O63" s="137">
        <v>2034</v>
      </c>
      <c r="P63" s="137">
        <v>2035</v>
      </c>
      <c r="Q63" s="136">
        <v>2036</v>
      </c>
      <c r="R63" s="136">
        <v>2037</v>
      </c>
      <c r="S63" s="137">
        <v>2038</v>
      </c>
      <c r="T63" s="137">
        <v>2039</v>
      </c>
      <c r="U63" s="137">
        <v>2040</v>
      </c>
      <c r="V63" s="137">
        <v>2041</v>
      </c>
      <c r="W63" s="137">
        <v>2042</v>
      </c>
      <c r="X63" s="137">
        <v>2043</v>
      </c>
      <c r="Y63" s="137">
        <v>2044</v>
      </c>
      <c r="Z63" s="137">
        <v>2045</v>
      </c>
      <c r="AA63" s="136">
        <v>2046</v>
      </c>
      <c r="AB63" s="136">
        <v>2047</v>
      </c>
      <c r="AC63" s="137">
        <v>2048</v>
      </c>
      <c r="AD63" s="137">
        <v>2049</v>
      </c>
      <c r="AE63" s="137">
        <v>2050</v>
      </c>
    </row>
    <row r="64" spans="2:31" s="103" customFormat="1" x14ac:dyDescent="0.35">
      <c r="B64" s="90"/>
      <c r="C64" s="20" t="s">
        <v>164</v>
      </c>
      <c r="D64" s="27"/>
      <c r="E64" s="27" t="s">
        <v>165</v>
      </c>
      <c r="F64" s="23" t="s">
        <v>166</v>
      </c>
      <c r="G64" s="23" t="s">
        <v>120</v>
      </c>
      <c r="H64" s="38">
        <f>H$41-H$27</f>
        <v>17.966262135922292</v>
      </c>
      <c r="I64" s="38">
        <f t="shared" ref="I64:AE64" si="22">I$41-I$27</f>
        <v>19.658737864077708</v>
      </c>
      <c r="J64" s="38">
        <f t="shared" si="22"/>
        <v>21.351213592233108</v>
      </c>
      <c r="K64" s="38">
        <f t="shared" si="22"/>
        <v>23.043689320388353</v>
      </c>
      <c r="L64" s="38">
        <f t="shared" si="22"/>
        <v>24.443689320388351</v>
      </c>
      <c r="M64" s="38">
        <f t="shared" si="22"/>
        <v>25.84368932038835</v>
      </c>
      <c r="N64" s="38">
        <f t="shared" si="22"/>
        <v>27.243689320388356</v>
      </c>
      <c r="O64" s="38">
        <f t="shared" si="22"/>
        <v>28.643689320388354</v>
      </c>
      <c r="P64" s="38">
        <f t="shared" si="22"/>
        <v>30.043689320388353</v>
      </c>
      <c r="Q64" s="38">
        <f t="shared" si="22"/>
        <v>31.443689320388351</v>
      </c>
      <c r="R64" s="38">
        <f t="shared" si="22"/>
        <v>32.84368932038835</v>
      </c>
      <c r="S64" s="38">
        <f t="shared" si="22"/>
        <v>34.243689320388356</v>
      </c>
      <c r="T64" s="38">
        <f t="shared" si="22"/>
        <v>35.643689320388354</v>
      </c>
      <c r="U64" s="38">
        <f t="shared" si="22"/>
        <v>37.043689320388353</v>
      </c>
      <c r="V64" s="38">
        <f t="shared" si="22"/>
        <v>38.343689320388357</v>
      </c>
      <c r="W64" s="38">
        <f t="shared" si="22"/>
        <v>39.643689320388347</v>
      </c>
      <c r="X64" s="38">
        <f t="shared" si="22"/>
        <v>40.943689320388359</v>
      </c>
      <c r="Y64" s="38">
        <f t="shared" si="22"/>
        <v>42.243689320388349</v>
      </c>
      <c r="Z64" s="38">
        <f t="shared" si="22"/>
        <v>43.543689320388353</v>
      </c>
      <c r="AA64" s="38">
        <f t="shared" si="22"/>
        <v>44.843689320388357</v>
      </c>
      <c r="AB64" s="38">
        <f t="shared" si="22"/>
        <v>46.143689320388347</v>
      </c>
      <c r="AC64" s="38">
        <f t="shared" si="22"/>
        <v>47.443689320388359</v>
      </c>
      <c r="AD64" s="38">
        <f t="shared" si="22"/>
        <v>48.743689320388349</v>
      </c>
      <c r="AE64" s="38">
        <f t="shared" si="22"/>
        <v>50.043689320388353</v>
      </c>
    </row>
    <row r="65" spans="2:32" x14ac:dyDescent="0.35">
      <c r="C65" s="20" t="s">
        <v>167</v>
      </c>
      <c r="D65" s="27"/>
      <c r="E65" s="27"/>
      <c r="F65" s="23" t="s">
        <v>168</v>
      </c>
      <c r="G65" s="23" t="s">
        <v>169</v>
      </c>
      <c r="H65" s="38">
        <f>H$24-H$39</f>
        <v>7.8084759540137175E-2</v>
      </c>
      <c r="I65" s="38">
        <f t="shared" ref="I65:AE65" si="23">I$24-I$39</f>
        <v>7.8084759540137175E-2</v>
      </c>
      <c r="J65" s="38">
        <f t="shared" si="23"/>
        <v>7.8084759540137175E-2</v>
      </c>
      <c r="K65" s="38">
        <f t="shared" si="23"/>
        <v>7.8084759540137175E-2</v>
      </c>
      <c r="L65" s="38">
        <f t="shared" si="23"/>
        <v>7.8084759540137175E-2</v>
      </c>
      <c r="M65" s="38">
        <f t="shared" si="23"/>
        <v>7.8084759540137175E-2</v>
      </c>
      <c r="N65" s="38">
        <f t="shared" si="23"/>
        <v>7.8084759540137175E-2</v>
      </c>
      <c r="O65" s="38">
        <f t="shared" si="23"/>
        <v>7.8084759540137175E-2</v>
      </c>
      <c r="P65" s="38">
        <f t="shared" si="23"/>
        <v>7.8084759540137175E-2</v>
      </c>
      <c r="Q65" s="38">
        <f t="shared" si="23"/>
        <v>7.8084759540137175E-2</v>
      </c>
      <c r="R65" s="38">
        <f t="shared" si="23"/>
        <v>7.8084759540137175E-2</v>
      </c>
      <c r="S65" s="38">
        <f t="shared" si="23"/>
        <v>7.8084759540137175E-2</v>
      </c>
      <c r="T65" s="38">
        <f t="shared" si="23"/>
        <v>7.8084759540137175E-2</v>
      </c>
      <c r="U65" s="38">
        <f t="shared" si="23"/>
        <v>7.8084759540137175E-2</v>
      </c>
      <c r="V65" s="38">
        <f t="shared" si="23"/>
        <v>7.8084759540137175E-2</v>
      </c>
      <c r="W65" s="38">
        <f t="shared" si="23"/>
        <v>7.8084759540137175E-2</v>
      </c>
      <c r="X65" s="38">
        <f t="shared" si="23"/>
        <v>7.8084759540137175E-2</v>
      </c>
      <c r="Y65" s="38">
        <f t="shared" si="23"/>
        <v>7.8084759540137175E-2</v>
      </c>
      <c r="Z65" s="38">
        <f t="shared" si="23"/>
        <v>7.8084759540137175E-2</v>
      </c>
      <c r="AA65" s="38">
        <f t="shared" si="23"/>
        <v>7.8084759540137175E-2</v>
      </c>
      <c r="AB65" s="38">
        <f t="shared" si="23"/>
        <v>7.8084759540137175E-2</v>
      </c>
      <c r="AC65" s="38">
        <f t="shared" si="23"/>
        <v>7.8084759540137175E-2</v>
      </c>
      <c r="AD65" s="38">
        <f t="shared" si="23"/>
        <v>7.8084759540137175E-2</v>
      </c>
      <c r="AE65" s="38">
        <f t="shared" si="23"/>
        <v>7.8084759540137175E-2</v>
      </c>
    </row>
    <row r="66" spans="2:32" x14ac:dyDescent="0.35">
      <c r="B66" s="104" t="s">
        <v>277</v>
      </c>
      <c r="C66" s="20" t="s">
        <v>170</v>
      </c>
      <c r="D66" s="27"/>
      <c r="E66" s="27" t="s">
        <v>171</v>
      </c>
      <c r="F66" s="23" t="s">
        <v>172</v>
      </c>
      <c r="G66" s="23" t="s">
        <v>155</v>
      </c>
      <c r="H66" s="38">
        <f>H64/H65</f>
        <v>230.08666789435733</v>
      </c>
      <c r="I66" s="38">
        <f t="shared" ref="I66:AE66" si="24">I64/I65</f>
        <v>251.76152145250202</v>
      </c>
      <c r="J66" s="38">
        <f t="shared" si="24"/>
        <v>273.43637501064654</v>
      </c>
      <c r="K66" s="38">
        <f t="shared" si="24"/>
        <v>295.11122856878904</v>
      </c>
      <c r="L66" s="38">
        <f t="shared" si="24"/>
        <v>313.04046352123032</v>
      </c>
      <c r="M66" s="38">
        <f t="shared" si="24"/>
        <v>330.96969847367154</v>
      </c>
      <c r="N66" s="38">
        <f t="shared" si="24"/>
        <v>348.89893342611293</v>
      </c>
      <c r="O66" s="38">
        <f t="shared" si="24"/>
        <v>366.82816837855415</v>
      </c>
      <c r="P66" s="38">
        <f t="shared" si="24"/>
        <v>384.75740333099543</v>
      </c>
      <c r="Q66" s="38">
        <f t="shared" si="24"/>
        <v>402.68663828343671</v>
      </c>
      <c r="R66" s="38">
        <f t="shared" si="24"/>
        <v>420.61587323587798</v>
      </c>
      <c r="S66" s="38">
        <f t="shared" si="24"/>
        <v>438.54510818831932</v>
      </c>
      <c r="T66" s="38">
        <f t="shared" si="24"/>
        <v>456.4743431407606</v>
      </c>
      <c r="U66" s="38">
        <f t="shared" si="24"/>
        <v>474.40357809320182</v>
      </c>
      <c r="V66" s="38">
        <f t="shared" si="24"/>
        <v>491.05215340618309</v>
      </c>
      <c r="W66" s="38">
        <f t="shared" si="24"/>
        <v>507.70072871916415</v>
      </c>
      <c r="X66" s="38">
        <f t="shared" si="24"/>
        <v>524.34930403214548</v>
      </c>
      <c r="Y66" s="38">
        <f t="shared" si="24"/>
        <v>540.99787934512653</v>
      </c>
      <c r="Z66" s="38">
        <f t="shared" si="24"/>
        <v>557.64645465810781</v>
      </c>
      <c r="AA66" s="38">
        <f t="shared" si="24"/>
        <v>574.29502997108898</v>
      </c>
      <c r="AB66" s="38">
        <f t="shared" si="24"/>
        <v>590.94360528407003</v>
      </c>
      <c r="AC66" s="38">
        <f t="shared" si="24"/>
        <v>607.59218059705142</v>
      </c>
      <c r="AD66" s="38">
        <f t="shared" si="24"/>
        <v>624.24075591003248</v>
      </c>
      <c r="AE66" s="38">
        <f t="shared" si="24"/>
        <v>640.88933122301376</v>
      </c>
    </row>
    <row r="67" spans="2:32" x14ac:dyDescent="0.35">
      <c r="C67" s="20" t="s">
        <v>173</v>
      </c>
      <c r="D67" s="27"/>
      <c r="E67" s="27" t="s">
        <v>174</v>
      </c>
      <c r="F67" s="23" t="s">
        <v>153</v>
      </c>
      <c r="G67" s="23" t="s">
        <v>155</v>
      </c>
      <c r="H67" s="38">
        <f>H66-H$16</f>
        <v>230.08666789435733</v>
      </c>
      <c r="I67" s="38">
        <f t="shared" ref="I67:AE67" si="25">I66-I$16</f>
        <v>251.76152145250202</v>
      </c>
      <c r="J67" s="38">
        <f t="shared" si="25"/>
        <v>273.43637501064654</v>
      </c>
      <c r="K67" s="38">
        <f t="shared" si="25"/>
        <v>295.11122856878904</v>
      </c>
      <c r="L67" s="38">
        <f t="shared" si="25"/>
        <v>313.04046352123032</v>
      </c>
      <c r="M67" s="38">
        <f t="shared" si="25"/>
        <v>330.96969847367154</v>
      </c>
      <c r="N67" s="38">
        <f t="shared" si="25"/>
        <v>348.89893342611293</v>
      </c>
      <c r="O67" s="38">
        <f t="shared" si="25"/>
        <v>366.82816837855415</v>
      </c>
      <c r="P67" s="38">
        <f t="shared" si="25"/>
        <v>384.75740333099543</v>
      </c>
      <c r="Q67" s="38">
        <f t="shared" si="25"/>
        <v>402.68663828343671</v>
      </c>
      <c r="R67" s="38">
        <f t="shared" si="25"/>
        <v>420.61587323587798</v>
      </c>
      <c r="S67" s="38">
        <f t="shared" si="25"/>
        <v>438.54510818831932</v>
      </c>
      <c r="T67" s="38">
        <f t="shared" si="25"/>
        <v>456.4743431407606</v>
      </c>
      <c r="U67" s="38">
        <f t="shared" si="25"/>
        <v>474.40357809320182</v>
      </c>
      <c r="V67" s="38">
        <f t="shared" si="25"/>
        <v>491.05215340618309</v>
      </c>
      <c r="W67" s="38">
        <f t="shared" si="25"/>
        <v>507.70072871916415</v>
      </c>
      <c r="X67" s="38">
        <f t="shared" si="25"/>
        <v>524.34930403214548</v>
      </c>
      <c r="Y67" s="38">
        <f t="shared" si="25"/>
        <v>540.99787934512653</v>
      </c>
      <c r="Z67" s="38">
        <f t="shared" si="25"/>
        <v>557.64645465810781</v>
      </c>
      <c r="AA67" s="38">
        <f t="shared" si="25"/>
        <v>574.29502997108898</v>
      </c>
      <c r="AB67" s="38">
        <f t="shared" si="25"/>
        <v>590.94360528407003</v>
      </c>
      <c r="AC67" s="38">
        <f t="shared" si="25"/>
        <v>607.59218059705142</v>
      </c>
      <c r="AD67" s="38">
        <f t="shared" si="25"/>
        <v>624.24075591003248</v>
      </c>
      <c r="AE67" s="38">
        <f t="shared" si="25"/>
        <v>640.88933122301376</v>
      </c>
    </row>
    <row r="68" spans="2:32" x14ac:dyDescent="0.35">
      <c r="C68" s="20" t="s">
        <v>175</v>
      </c>
      <c r="D68" s="27"/>
      <c r="E68" s="27" t="s">
        <v>176</v>
      </c>
      <c r="F68" s="23" t="s">
        <v>177</v>
      </c>
      <c r="G68" s="23" t="s">
        <v>159</v>
      </c>
      <c r="H68" s="38">
        <f>MIN(H67,H58)</f>
        <v>230.08666789435733</v>
      </c>
      <c r="I68" s="38">
        <f t="shared" ref="I68:AE68" si="26">MIN(I67,I58)</f>
        <v>251.76152145250202</v>
      </c>
      <c r="J68" s="38">
        <f t="shared" si="26"/>
        <v>273.43637501064654</v>
      </c>
      <c r="K68" s="38">
        <f t="shared" si="26"/>
        <v>295.11122856878904</v>
      </c>
      <c r="L68" s="38">
        <f t="shared" si="26"/>
        <v>313.04046352123032</v>
      </c>
      <c r="M68" s="38">
        <f t="shared" si="26"/>
        <v>330.96969847367154</v>
      </c>
      <c r="N68" s="38">
        <f t="shared" si="26"/>
        <v>348.89893342611293</v>
      </c>
      <c r="O68" s="38">
        <f t="shared" si="26"/>
        <v>366.82816837855415</v>
      </c>
      <c r="P68" s="38">
        <f t="shared" si="26"/>
        <v>384.75740333099543</v>
      </c>
      <c r="Q68" s="38">
        <f t="shared" si="26"/>
        <v>402.68663828343671</v>
      </c>
      <c r="R68" s="38">
        <f t="shared" si="26"/>
        <v>420.61587323587798</v>
      </c>
      <c r="S68" s="38">
        <f t="shared" si="26"/>
        <v>438.54510818831932</v>
      </c>
      <c r="T68" s="38">
        <f t="shared" si="26"/>
        <v>456.4743431407606</v>
      </c>
      <c r="U68" s="38">
        <f t="shared" si="26"/>
        <v>474.40357809320182</v>
      </c>
      <c r="V68" s="38">
        <f t="shared" si="26"/>
        <v>491.05215340618309</v>
      </c>
      <c r="W68" s="38">
        <f t="shared" si="26"/>
        <v>507.70072871916415</v>
      </c>
      <c r="X68" s="38">
        <f t="shared" si="26"/>
        <v>524.34930403214548</v>
      </c>
      <c r="Y68" s="38">
        <f t="shared" si="26"/>
        <v>540.99787934512653</v>
      </c>
      <c r="Z68" s="38">
        <f t="shared" si="26"/>
        <v>557.64645465810781</v>
      </c>
      <c r="AA68" s="38">
        <f t="shared" si="26"/>
        <v>574.29502997108898</v>
      </c>
      <c r="AB68" s="38">
        <f t="shared" si="26"/>
        <v>590.94360528407003</v>
      </c>
      <c r="AC68" s="38">
        <f t="shared" si="26"/>
        <v>600</v>
      </c>
      <c r="AD68" s="38">
        <f t="shared" si="26"/>
        <v>600</v>
      </c>
      <c r="AE68" s="38">
        <f t="shared" si="26"/>
        <v>600</v>
      </c>
    </row>
    <row r="69" spans="2:32" x14ac:dyDescent="0.35">
      <c r="C69" s="20" t="s">
        <v>178</v>
      </c>
      <c r="D69" s="27"/>
      <c r="E69" s="27" t="s">
        <v>179</v>
      </c>
      <c r="F69" s="23" t="s">
        <v>177</v>
      </c>
      <c r="G69" s="23"/>
      <c r="H69" s="38" t="str">
        <f>IF(H68=H$18,$C$18,$C$67)</f>
        <v>Bio-diesel abatement cost minus levy savings</v>
      </c>
      <c r="I69" s="38" t="str">
        <f t="shared" ref="I69:AE69" si="27">IF(I68=I$18,$C$18,$C$67)</f>
        <v>Bio-diesel abatement cost minus levy savings</v>
      </c>
      <c r="J69" s="38" t="str">
        <f t="shared" si="27"/>
        <v>Bio-diesel abatement cost minus levy savings</v>
      </c>
      <c r="K69" s="38" t="str">
        <f t="shared" si="27"/>
        <v>Bio-diesel abatement cost minus levy savings</v>
      </c>
      <c r="L69" s="38" t="str">
        <f t="shared" si="27"/>
        <v>Bio-diesel abatement cost minus levy savings</v>
      </c>
      <c r="M69" s="38" t="str">
        <f t="shared" si="27"/>
        <v>Bio-diesel abatement cost minus levy savings</v>
      </c>
      <c r="N69" s="38" t="str">
        <f t="shared" si="27"/>
        <v>Bio-diesel abatement cost minus levy savings</v>
      </c>
      <c r="O69" s="38" t="str">
        <f t="shared" si="27"/>
        <v>Bio-diesel abatement cost minus levy savings</v>
      </c>
      <c r="P69" s="38" t="str">
        <f t="shared" si="27"/>
        <v>Bio-diesel abatement cost minus levy savings</v>
      </c>
      <c r="Q69" s="38" t="str">
        <f t="shared" si="27"/>
        <v>Bio-diesel abatement cost minus levy savings</v>
      </c>
      <c r="R69" s="38" t="str">
        <f t="shared" si="27"/>
        <v>Bio-diesel abatement cost minus levy savings</v>
      </c>
      <c r="S69" s="38" t="str">
        <f t="shared" si="27"/>
        <v>Bio-diesel abatement cost minus levy savings</v>
      </c>
      <c r="T69" s="38" t="str">
        <f t="shared" si="27"/>
        <v>Bio-diesel abatement cost minus levy savings</v>
      </c>
      <c r="U69" s="38" t="str">
        <f t="shared" si="27"/>
        <v>Bio-diesel abatement cost minus levy savings</v>
      </c>
      <c r="V69" s="38" t="str">
        <f t="shared" si="27"/>
        <v>Bio-diesel abatement cost minus levy savings</v>
      </c>
      <c r="W69" s="38" t="str">
        <f t="shared" si="27"/>
        <v>Bio-diesel abatement cost minus levy savings</v>
      </c>
      <c r="X69" s="38" t="str">
        <f t="shared" si="27"/>
        <v>Bio-diesel abatement cost minus levy savings</v>
      </c>
      <c r="Y69" s="38" t="str">
        <f t="shared" si="27"/>
        <v>Bio-diesel abatement cost minus levy savings</v>
      </c>
      <c r="Z69" s="38" t="str">
        <f t="shared" si="27"/>
        <v>Bio-diesel abatement cost minus levy savings</v>
      </c>
      <c r="AA69" s="38" t="str">
        <f t="shared" si="27"/>
        <v>Bio-diesel abatement cost minus levy savings</v>
      </c>
      <c r="AB69" s="38" t="str">
        <f t="shared" si="27"/>
        <v>Bio-diesel abatement cost minus levy savings</v>
      </c>
      <c r="AC69" s="38" t="str">
        <f t="shared" si="27"/>
        <v>Upper Remedial Unit Cost</v>
      </c>
      <c r="AD69" s="38" t="str">
        <f t="shared" si="27"/>
        <v>Upper Remedial Unit Cost</v>
      </c>
      <c r="AE69" s="38" t="str">
        <f t="shared" si="27"/>
        <v>Upper Remedial Unit Cost</v>
      </c>
    </row>
    <row r="70" spans="2:32" x14ac:dyDescent="0.35">
      <c r="C70" s="20" t="s">
        <v>180</v>
      </c>
      <c r="D70" s="27"/>
      <c r="E70" s="27" t="s">
        <v>181</v>
      </c>
      <c r="F70" s="23" t="s">
        <v>177</v>
      </c>
      <c r="G70" s="23" t="s">
        <v>134</v>
      </c>
      <c r="H70" s="38">
        <f>IF(H69=$C$18,H$28,H$66*H$25)</f>
        <v>26.495559236285899</v>
      </c>
      <c r="I70" s="38">
        <f t="shared" ref="I70:AE70" si="28">IF(I69=$C$18,I$28,I$66*I$25)</f>
        <v>62.814960669243646</v>
      </c>
      <c r="J70" s="38">
        <f t="shared" si="28"/>
        <v>89.214530580853392</v>
      </c>
      <c r="K70" s="38">
        <f t="shared" si="28"/>
        <v>135.93376981629356</v>
      </c>
      <c r="L70" s="38">
        <f t="shared" si="28"/>
        <v>204.27244184152073</v>
      </c>
      <c r="M70" s="38">
        <f t="shared" si="28"/>
        <v>285.84535117494562</v>
      </c>
      <c r="N70" s="38">
        <f t="shared" si="28"/>
        <v>374.98859074088983</v>
      </c>
      <c r="O70" s="38">
        <f t="shared" si="28"/>
        <v>471.70216053935258</v>
      </c>
      <c r="P70" s="38">
        <f t="shared" si="28"/>
        <v>568.60162389635582</v>
      </c>
      <c r="Q70" s="38">
        <f t="shared" si="28"/>
        <v>684.74887379637983</v>
      </c>
      <c r="R70" s="38">
        <f t="shared" si="28"/>
        <v>808.87938103251452</v>
      </c>
      <c r="S70" s="38">
        <f t="shared" si="28"/>
        <v>940.99314560476034</v>
      </c>
      <c r="T70" s="38">
        <f t="shared" si="28"/>
        <v>1081.0901675131172</v>
      </c>
      <c r="U70" s="38">
        <f t="shared" si="28"/>
        <v>1229.1704467575844</v>
      </c>
      <c r="V70" s="38">
        <f t="shared" si="28"/>
        <v>1330.7384395119825</v>
      </c>
      <c r="W70" s="38">
        <f t="shared" si="28"/>
        <v>1436.2685661413223</v>
      </c>
      <c r="X70" s="38">
        <f t="shared" si="28"/>
        <v>1545.7608266456041</v>
      </c>
      <c r="Y70" s="38">
        <f t="shared" si="28"/>
        <v>1659.2152210248269</v>
      </c>
      <c r="Z70" s="38">
        <f t="shared" si="28"/>
        <v>1776.6317492789919</v>
      </c>
      <c r="AA70" s="38">
        <f t="shared" si="28"/>
        <v>1895.8059858431643</v>
      </c>
      <c r="AB70" s="38">
        <f t="shared" si="28"/>
        <v>2018.8145455121194</v>
      </c>
      <c r="AC70" s="38">
        <f t="shared" si="28"/>
        <v>2118.8463217325379</v>
      </c>
      <c r="AD70" s="38">
        <f t="shared" si="28"/>
        <v>2187.9391365716424</v>
      </c>
      <c r="AE70" s="38">
        <f t="shared" si="28"/>
        <v>2257.0319514107468</v>
      </c>
    </row>
    <row r="71" spans="2:32" x14ac:dyDescent="0.35">
      <c r="B71" s="104" t="s">
        <v>265</v>
      </c>
      <c r="C71" s="20" t="s">
        <v>266</v>
      </c>
      <c r="D71" s="27"/>
      <c r="E71" s="27" t="s">
        <v>176</v>
      </c>
      <c r="F71" s="23" t="s">
        <v>177</v>
      </c>
      <c r="G71" s="23" t="s">
        <v>159</v>
      </c>
      <c r="H71" s="38">
        <f>MIN(H$19,H68)</f>
        <v>100</v>
      </c>
      <c r="I71" s="38">
        <f t="shared" ref="I71:AE71" si="29">MIN(I$19,I68)</f>
        <v>100</v>
      </c>
      <c r="J71" s="38">
        <f t="shared" si="29"/>
        <v>100</v>
      </c>
      <c r="K71" s="38">
        <f t="shared" si="29"/>
        <v>100</v>
      </c>
      <c r="L71" s="38">
        <f t="shared" si="29"/>
        <v>100</v>
      </c>
      <c r="M71" s="38">
        <f t="shared" si="29"/>
        <v>100</v>
      </c>
      <c r="N71" s="38">
        <f t="shared" si="29"/>
        <v>100</v>
      </c>
      <c r="O71" s="38">
        <f t="shared" si="29"/>
        <v>100</v>
      </c>
      <c r="P71" s="38">
        <f t="shared" si="29"/>
        <v>100</v>
      </c>
      <c r="Q71" s="38">
        <f t="shared" si="29"/>
        <v>100</v>
      </c>
      <c r="R71" s="38">
        <f t="shared" si="29"/>
        <v>100</v>
      </c>
      <c r="S71" s="38">
        <f t="shared" si="29"/>
        <v>100</v>
      </c>
      <c r="T71" s="38">
        <f t="shared" si="29"/>
        <v>100</v>
      </c>
      <c r="U71" s="38">
        <f t="shared" si="29"/>
        <v>100</v>
      </c>
      <c r="V71" s="38">
        <f t="shared" si="29"/>
        <v>100</v>
      </c>
      <c r="W71" s="38">
        <f t="shared" si="29"/>
        <v>100</v>
      </c>
      <c r="X71" s="38">
        <f t="shared" si="29"/>
        <v>100</v>
      </c>
      <c r="Y71" s="38">
        <f t="shared" si="29"/>
        <v>100</v>
      </c>
      <c r="Z71" s="38">
        <f t="shared" si="29"/>
        <v>100</v>
      </c>
      <c r="AA71" s="38">
        <f t="shared" si="29"/>
        <v>100</v>
      </c>
      <c r="AB71" s="38">
        <f t="shared" si="29"/>
        <v>100</v>
      </c>
      <c r="AC71" s="38">
        <f t="shared" si="29"/>
        <v>100</v>
      </c>
      <c r="AD71" s="38">
        <f t="shared" si="29"/>
        <v>100</v>
      </c>
      <c r="AE71" s="38">
        <f t="shared" si="29"/>
        <v>100</v>
      </c>
      <c r="AF71" s="90"/>
    </row>
    <row r="72" spans="2:32" x14ac:dyDescent="0.35">
      <c r="C72" s="20" t="s">
        <v>267</v>
      </c>
      <c r="D72" s="27"/>
      <c r="E72" s="27" t="s">
        <v>179</v>
      </c>
      <c r="F72" s="23" t="s">
        <v>177</v>
      </c>
      <c r="G72" s="23"/>
      <c r="H72" s="38" t="str">
        <f>IF(H71=H$19,$C$19,$C$67)</f>
        <v>Lower Remedial Unit Cost</v>
      </c>
      <c r="I72" s="38" t="str">
        <f t="shared" ref="I72:AE72" si="30">IF(I71=I$19,$C$19,$C$67)</f>
        <v>Lower Remedial Unit Cost</v>
      </c>
      <c r="J72" s="38" t="str">
        <f t="shared" si="30"/>
        <v>Lower Remedial Unit Cost</v>
      </c>
      <c r="K72" s="38" t="str">
        <f t="shared" si="30"/>
        <v>Lower Remedial Unit Cost</v>
      </c>
      <c r="L72" s="38" t="str">
        <f t="shared" si="30"/>
        <v>Lower Remedial Unit Cost</v>
      </c>
      <c r="M72" s="38" t="str">
        <f t="shared" si="30"/>
        <v>Lower Remedial Unit Cost</v>
      </c>
      <c r="N72" s="38" t="str">
        <f t="shared" si="30"/>
        <v>Lower Remedial Unit Cost</v>
      </c>
      <c r="O72" s="38" t="str">
        <f t="shared" si="30"/>
        <v>Lower Remedial Unit Cost</v>
      </c>
      <c r="P72" s="38" t="str">
        <f t="shared" si="30"/>
        <v>Lower Remedial Unit Cost</v>
      </c>
      <c r="Q72" s="38" t="str">
        <f t="shared" si="30"/>
        <v>Lower Remedial Unit Cost</v>
      </c>
      <c r="R72" s="38" t="str">
        <f t="shared" si="30"/>
        <v>Lower Remedial Unit Cost</v>
      </c>
      <c r="S72" s="38" t="str">
        <f t="shared" si="30"/>
        <v>Lower Remedial Unit Cost</v>
      </c>
      <c r="T72" s="38" t="str">
        <f t="shared" si="30"/>
        <v>Lower Remedial Unit Cost</v>
      </c>
      <c r="U72" s="38" t="str">
        <f t="shared" si="30"/>
        <v>Lower Remedial Unit Cost</v>
      </c>
      <c r="V72" s="38" t="str">
        <f t="shared" si="30"/>
        <v>Lower Remedial Unit Cost</v>
      </c>
      <c r="W72" s="38" t="str">
        <f t="shared" si="30"/>
        <v>Lower Remedial Unit Cost</v>
      </c>
      <c r="X72" s="38" t="str">
        <f t="shared" si="30"/>
        <v>Lower Remedial Unit Cost</v>
      </c>
      <c r="Y72" s="38" t="str">
        <f t="shared" si="30"/>
        <v>Lower Remedial Unit Cost</v>
      </c>
      <c r="Z72" s="38" t="str">
        <f t="shared" si="30"/>
        <v>Lower Remedial Unit Cost</v>
      </c>
      <c r="AA72" s="38" t="str">
        <f t="shared" si="30"/>
        <v>Lower Remedial Unit Cost</v>
      </c>
      <c r="AB72" s="38" t="str">
        <f t="shared" si="30"/>
        <v>Lower Remedial Unit Cost</v>
      </c>
      <c r="AC72" s="38" t="str">
        <f t="shared" si="30"/>
        <v>Lower Remedial Unit Cost</v>
      </c>
      <c r="AD72" s="38" t="str">
        <f t="shared" si="30"/>
        <v>Lower Remedial Unit Cost</v>
      </c>
      <c r="AE72" s="38" t="str">
        <f t="shared" si="30"/>
        <v>Lower Remedial Unit Cost</v>
      </c>
      <c r="AF72" s="90"/>
    </row>
    <row r="73" spans="2:32" x14ac:dyDescent="0.35">
      <c r="C73" s="20" t="s">
        <v>268</v>
      </c>
      <c r="D73" s="27"/>
      <c r="E73" s="27" t="s">
        <v>181</v>
      </c>
      <c r="F73" s="23" t="s">
        <v>177</v>
      </c>
      <c r="G73" s="23" t="s">
        <v>134</v>
      </c>
      <c r="H73" s="38">
        <f>IF(H72=$C$19,H$29,H$66*H$26)</f>
        <v>17.273203709776112</v>
      </c>
      <c r="I73" s="38">
        <f t="shared" ref="I73:AE73" si="31">IF(I72=$C$19,I$29,I$66*I$26)</f>
        <v>24.950183136343309</v>
      </c>
      <c r="J73" s="38">
        <f t="shared" si="31"/>
        <v>42.223386846119425</v>
      </c>
      <c r="K73" s="38">
        <f t="shared" si="31"/>
        <v>47.981121416044772</v>
      </c>
      <c r="L73" s="38">
        <f t="shared" si="31"/>
        <v>49.900366272686561</v>
      </c>
      <c r="M73" s="38">
        <f t="shared" si="31"/>
        <v>49.90036627268659</v>
      </c>
      <c r="N73" s="38">
        <f t="shared" si="31"/>
        <v>49.900366272686526</v>
      </c>
      <c r="O73" s="38">
        <f t="shared" si="31"/>
        <v>47.981121416044779</v>
      </c>
      <c r="P73" s="38">
        <f t="shared" si="31"/>
        <v>49.900366272686568</v>
      </c>
      <c r="Q73" s="38">
        <f t="shared" si="31"/>
        <v>48.364970387373148</v>
      </c>
      <c r="R73" s="38">
        <f t="shared" si="31"/>
        <v>46.829574502059778</v>
      </c>
      <c r="S73" s="38">
        <f t="shared" si="31"/>
        <v>45.294178616746365</v>
      </c>
      <c r="T73" s="38">
        <f t="shared" si="31"/>
        <v>43.758782731432873</v>
      </c>
      <c r="U73" s="38">
        <f t="shared" si="31"/>
        <v>42.223386846119396</v>
      </c>
      <c r="V73" s="38">
        <f t="shared" si="31"/>
        <v>38.38489713283586</v>
      </c>
      <c r="W73" s="38">
        <f t="shared" si="31"/>
        <v>34.546407419552239</v>
      </c>
      <c r="X73" s="38">
        <f t="shared" si="31"/>
        <v>30.707917706268617</v>
      </c>
      <c r="Y73" s="38">
        <f t="shared" si="31"/>
        <v>26.869427992985038</v>
      </c>
      <c r="Z73" s="38">
        <f t="shared" si="31"/>
        <v>23.030938279701509</v>
      </c>
      <c r="AA73" s="38">
        <f t="shared" si="31"/>
        <v>18.424750623761277</v>
      </c>
      <c r="AB73" s="38">
        <f t="shared" si="31"/>
        <v>13.818562967820913</v>
      </c>
      <c r="AC73" s="38">
        <f t="shared" si="31"/>
        <v>9.212375311880594</v>
      </c>
      <c r="AD73" s="38">
        <f t="shared" si="31"/>
        <v>4.6061876559403192</v>
      </c>
      <c r="AE73" s="38">
        <f t="shared" si="31"/>
        <v>0</v>
      </c>
      <c r="AF73" s="90"/>
    </row>
    <row r="74" spans="2:32" x14ac:dyDescent="0.35">
      <c r="B74" s="104" t="s">
        <v>182</v>
      </c>
      <c r="C74" s="20" t="s">
        <v>183</v>
      </c>
      <c r="D74" s="27"/>
      <c r="E74" s="27"/>
      <c r="F74" s="23" t="s">
        <v>184</v>
      </c>
      <c r="G74" s="23" t="s">
        <v>98</v>
      </c>
      <c r="H74" s="38">
        <f>IF(AND('CCC Summary'!$C$17="Two-tier",(H72=$C67)),H$15,IF(H69=$C67,H$14,H$23))</f>
        <v>91.482432970149247</v>
      </c>
      <c r="I74" s="38">
        <f>IF(AND('CCC Summary'!$C$17="Two-tier",(I72=$C67)),I$15,IF(I69=$C67,I$14,I$23))</f>
        <v>88.181520440298513</v>
      </c>
      <c r="J74" s="38">
        <f>IF(AND('CCC Summary'!$C$17="Two-tier",(J72=$C67)),J$15,IF(J69=$C67,J$14,J$23))</f>
        <v>86.295284708955222</v>
      </c>
      <c r="K74" s="38">
        <f>IF(AND('CCC Summary'!$C$17="Two-tier",(K72=$C67)),K$15,IF(K69=$C67,K$14,K$23))</f>
        <v>82.994372179104474</v>
      </c>
      <c r="L74" s="38">
        <f>IF(AND('CCC Summary'!$C$17="Two-tier",(L72=$C67)),L$15,IF(L69=$C67,L$14,L$23))</f>
        <v>78.278782850746268</v>
      </c>
      <c r="M74" s="38">
        <f>IF(AND('CCC Summary'!$C$17="Two-tier",(M72=$C67)),M$15,IF(M69=$C67,M$14,M$23))</f>
        <v>73.091634589552243</v>
      </c>
      <c r="N74" s="38">
        <f>IF(AND('CCC Summary'!$C$17="Two-tier",(N72=$C67)),N$15,IF(N69=$C67,N$14,N$23))</f>
        <v>67.904486328358203</v>
      </c>
      <c r="O74" s="38">
        <f>IF(AND('CCC Summary'!$C$17="Two-tier",(O72=$C67)),O$15,IF(O69=$C67,O$14,O$23))</f>
        <v>62.717338067164178</v>
      </c>
      <c r="P74" s="38">
        <f>IF(AND('CCC Summary'!$C$17="Two-tier",(P72=$C67)),P$15,IF(P69=$C67,P$14,P$23))</f>
        <v>58.001748738805965</v>
      </c>
      <c r="Q74" s="38">
        <f>IF(AND('CCC Summary'!$C$17="Two-tier",(Q72=$C67)),Q$15,IF(Q69=$C67,Q$14,Q$23))</f>
        <v>52.531665117910443</v>
      </c>
      <c r="R74" s="38">
        <f>IF(AND('CCC Summary'!$C$17="Two-tier",(R72=$C67)),R$15,IF(R69=$C67,R$14,R$23))</f>
        <v>47.061581497014927</v>
      </c>
      <c r="S74" s="38">
        <f>IF(AND('CCC Summary'!$C$17="Two-tier",(S72=$C67)),S$15,IF(S69=$C67,S$14,S$23))</f>
        <v>41.591497876119398</v>
      </c>
      <c r="T74" s="38">
        <f>IF(AND('CCC Summary'!$C$17="Two-tier",(T72=$C67)),T$15,IF(T69=$C67,T$14,T$23))</f>
        <v>36.121414255223868</v>
      </c>
      <c r="U74" s="38">
        <f>IF(AND('CCC Summary'!$C$17="Two-tier",(U72=$C67)),U$15,IF(U69=$C67,U$14,U$23))</f>
        <v>30.651330634328353</v>
      </c>
      <c r="V74" s="38">
        <f>IF(AND('CCC Summary'!$C$17="Two-tier",(V72=$C67)),V$15,IF(V69=$C67,V$14,V$23))</f>
        <v>27.727665250746263</v>
      </c>
      <c r="W74" s="38">
        <f>IF(AND('CCC Summary'!$C$17="Two-tier",(W72=$C67)),W$15,IF(W69=$C67,W$14,W$23))</f>
        <v>24.803999867164169</v>
      </c>
      <c r="X74" s="38">
        <f>IF(AND('CCC Summary'!$C$17="Two-tier",(X72=$C67)),X$15,IF(X69=$C67,X$14,X$23))</f>
        <v>21.880334483582079</v>
      </c>
      <c r="Y74" s="38">
        <f>IF(AND('CCC Summary'!$C$17="Two-tier",(Y72=$C67)),Y$15,IF(Y69=$C67,Y$14,Y$23))</f>
        <v>18.956669099999985</v>
      </c>
      <c r="Z74" s="38">
        <f>IF(AND('CCC Summary'!$C$17="Two-tier",(Z72=$C67)),Z$15,IF(Z69=$C67,Z$14,Z$23))</f>
        <v>16.033003716417912</v>
      </c>
      <c r="AA74" s="38">
        <f>IF(AND('CCC Summary'!$C$17="Two-tier",(AA72=$C67)),AA$15,IF(AA69=$C67,AA$14,AA$23))</f>
        <v>13.203650119402987</v>
      </c>
      <c r="AB74" s="38">
        <f>IF(AND('CCC Summary'!$C$17="Two-tier",(AB72=$C67)),AB$15,IF(AB69=$C67,AB$14,AB$23))</f>
        <v>10.374296522388057</v>
      </c>
      <c r="AC74" s="38">
        <f>IF(AND('CCC Summary'!$C$17="Two-tier",(AC72=$C67)),AC$15,IF(AC69=$C67,AC$14,AC$23))</f>
        <v>94.311786567164205</v>
      </c>
      <c r="AD74" s="38">
        <f>IF(AND('CCC Summary'!$C$17="Two-tier",(AD72=$C67)),AD$15,IF(AD69=$C67,AD$14,AD$23))</f>
        <v>94.311786567164205</v>
      </c>
      <c r="AE74" s="38">
        <f>IF(AND('CCC Summary'!$C$17="Two-tier",(AE72=$C67)),AE$15,IF(AE69=$C67,AE$14,AE$23))</f>
        <v>94.311786567164205</v>
      </c>
    </row>
    <row r="75" spans="2:32" x14ac:dyDescent="0.35">
      <c r="C75" s="20" t="s">
        <v>185</v>
      </c>
      <c r="D75" s="27"/>
      <c r="E75" s="27"/>
      <c r="F75" s="23" t="s">
        <v>186</v>
      </c>
      <c r="G75" s="23" t="s">
        <v>187</v>
      </c>
      <c r="H75" s="38">
        <f>H74*Data!$F$7</f>
        <v>3.7233350218850743</v>
      </c>
      <c r="I75" s="38">
        <f>I74*Data!$F$7</f>
        <v>3.5889878819201493</v>
      </c>
      <c r="J75" s="38">
        <f>J74*Data!$F$7</f>
        <v>3.5122180876544777</v>
      </c>
      <c r="K75" s="38">
        <f>K74*Data!$F$7</f>
        <v>3.3778709476895519</v>
      </c>
      <c r="L75" s="38">
        <f>L74*Data!$F$7</f>
        <v>3.185946462025373</v>
      </c>
      <c r="M75" s="38">
        <f>M74*Data!$F$7</f>
        <v>2.9748295277947765</v>
      </c>
      <c r="N75" s="38">
        <f>N74*Data!$F$7</f>
        <v>2.7637125935641791</v>
      </c>
      <c r="O75" s="38">
        <f>O74*Data!$F$7</f>
        <v>2.5525956593335821</v>
      </c>
      <c r="P75" s="38">
        <f>P74*Data!$F$7</f>
        <v>2.3606711736694028</v>
      </c>
      <c r="Q75" s="38">
        <f>Q74*Data!$F$7</f>
        <v>2.1380387702989552</v>
      </c>
      <c r="R75" s="38">
        <f>R74*Data!$F$7</f>
        <v>1.9154063669285075</v>
      </c>
      <c r="S75" s="38">
        <f>S74*Data!$F$7</f>
        <v>1.6927739635580594</v>
      </c>
      <c r="T75" s="38">
        <f>T74*Data!$F$7</f>
        <v>1.4701415601876116</v>
      </c>
      <c r="U75" s="38">
        <f>U74*Data!$F$7</f>
        <v>1.2475091568171639</v>
      </c>
      <c r="V75" s="38">
        <f>V74*Data!$F$7</f>
        <v>1.1285159757053729</v>
      </c>
      <c r="W75" s="38">
        <f>W74*Data!$F$7</f>
        <v>1.0095227945935816</v>
      </c>
      <c r="X75" s="38">
        <f>X74*Data!$F$7</f>
        <v>0.89052961348179061</v>
      </c>
      <c r="Y75" s="38">
        <f>Y74*Data!$F$7</f>
        <v>0.77153643236999936</v>
      </c>
      <c r="Z75" s="38">
        <f>Z74*Data!$F$7</f>
        <v>0.652543251258209</v>
      </c>
      <c r="AA75" s="38">
        <f>AA74*Data!$F$7</f>
        <v>0.53738855985970158</v>
      </c>
      <c r="AB75" s="38">
        <f>AB74*Data!$F$7</f>
        <v>0.42223386846119393</v>
      </c>
      <c r="AC75" s="38">
        <f>AC74*Data!$F$7</f>
        <v>3.8384897132835833</v>
      </c>
      <c r="AD75" s="38">
        <f>AD74*Data!$F$7</f>
        <v>3.8384897132835833</v>
      </c>
      <c r="AE75" s="38">
        <f>AE74*Data!$F$7</f>
        <v>3.8384897132835833</v>
      </c>
    </row>
    <row r="76" spans="2:32" x14ac:dyDescent="0.35">
      <c r="C76" s="20" t="s">
        <v>188</v>
      </c>
      <c r="D76" s="27"/>
      <c r="E76" s="27" t="s">
        <v>189</v>
      </c>
      <c r="F76" s="23" t="s">
        <v>190</v>
      </c>
      <c r="G76" s="23" t="s">
        <v>191</v>
      </c>
      <c r="H76" s="38">
        <f>H75*H$16</f>
        <v>0</v>
      </c>
      <c r="I76" s="38">
        <f t="shared" ref="I76:AE76" si="32">I75*I$16</f>
        <v>0</v>
      </c>
      <c r="J76" s="38">
        <f t="shared" si="32"/>
        <v>0</v>
      </c>
      <c r="K76" s="38">
        <f t="shared" si="32"/>
        <v>0</v>
      </c>
      <c r="L76" s="38">
        <f t="shared" si="32"/>
        <v>0</v>
      </c>
      <c r="M76" s="38">
        <f t="shared" si="32"/>
        <v>0</v>
      </c>
      <c r="N76" s="38">
        <f t="shared" si="32"/>
        <v>0</v>
      </c>
      <c r="O76" s="38">
        <f t="shared" si="32"/>
        <v>0</v>
      </c>
      <c r="P76" s="38">
        <f t="shared" si="32"/>
        <v>0</v>
      </c>
      <c r="Q76" s="38">
        <f t="shared" si="32"/>
        <v>0</v>
      </c>
      <c r="R76" s="38">
        <f t="shared" si="32"/>
        <v>0</v>
      </c>
      <c r="S76" s="38">
        <f t="shared" si="32"/>
        <v>0</v>
      </c>
      <c r="T76" s="38">
        <f t="shared" si="32"/>
        <v>0</v>
      </c>
      <c r="U76" s="38">
        <f t="shared" si="32"/>
        <v>0</v>
      </c>
      <c r="V76" s="38">
        <f t="shared" si="32"/>
        <v>0</v>
      </c>
      <c r="W76" s="38">
        <f t="shared" si="32"/>
        <v>0</v>
      </c>
      <c r="X76" s="38">
        <f t="shared" si="32"/>
        <v>0</v>
      </c>
      <c r="Y76" s="38">
        <f t="shared" si="32"/>
        <v>0</v>
      </c>
      <c r="Z76" s="38">
        <f t="shared" si="32"/>
        <v>0</v>
      </c>
      <c r="AA76" s="38">
        <f t="shared" si="32"/>
        <v>0</v>
      </c>
      <c r="AB76" s="38">
        <f t="shared" si="32"/>
        <v>0</v>
      </c>
      <c r="AC76" s="38">
        <f t="shared" si="32"/>
        <v>0</v>
      </c>
      <c r="AD76" s="38">
        <f t="shared" si="32"/>
        <v>0</v>
      </c>
      <c r="AE76" s="38">
        <f t="shared" si="32"/>
        <v>0</v>
      </c>
    </row>
    <row r="77" spans="2:32" x14ac:dyDescent="0.35">
      <c r="B77" s="99" t="s">
        <v>192</v>
      </c>
      <c r="C77" s="24" t="s">
        <v>77</v>
      </c>
      <c r="D77" s="105"/>
      <c r="E77" s="105" t="s">
        <v>193</v>
      </c>
      <c r="F77" s="106"/>
      <c r="G77" s="106" t="s">
        <v>134</v>
      </c>
      <c r="H77" s="143">
        <f>H27*Data!$F$7*1000</f>
        <v>595.59313106796242</v>
      </c>
      <c r="I77" s="143">
        <f>I27*Data!$F$7*1000</f>
        <v>579.61936893203745</v>
      </c>
      <c r="J77" s="143">
        <f>J27*Data!$F$7*1000</f>
        <v>563.64560679611247</v>
      </c>
      <c r="K77" s="143">
        <f>K27*Data!$F$7*1000</f>
        <v>547.6718446601941</v>
      </c>
      <c r="L77" s="143">
        <f>L27*Data!$F$7*1000</f>
        <v>547.6718446601941</v>
      </c>
      <c r="M77" s="143">
        <f>M27*Data!$F$7*1000</f>
        <v>547.6718446601941</v>
      </c>
      <c r="N77" s="143">
        <f>N27*Data!$F$7*1000</f>
        <v>547.6718446601941</v>
      </c>
      <c r="O77" s="143">
        <f>O27*Data!$F$7*1000</f>
        <v>547.6718446601941</v>
      </c>
      <c r="P77" s="143">
        <f>P27*Data!$F$7*1000</f>
        <v>547.6718446601941</v>
      </c>
      <c r="Q77" s="143">
        <f>Q27*Data!$F$7*1000</f>
        <v>547.6718446601941</v>
      </c>
      <c r="R77" s="143">
        <f>R27*Data!$F$7*1000</f>
        <v>547.6718446601941</v>
      </c>
      <c r="S77" s="143">
        <f>S27*Data!$F$7*1000</f>
        <v>547.6718446601941</v>
      </c>
      <c r="T77" s="143">
        <f>T27*Data!$F$7*1000</f>
        <v>547.6718446601941</v>
      </c>
      <c r="U77" s="143">
        <f>U27*Data!$F$7*1000</f>
        <v>547.6718446601941</v>
      </c>
      <c r="V77" s="143">
        <f>V27*Data!$F$7*1000</f>
        <v>547.6718446601941</v>
      </c>
      <c r="W77" s="143">
        <f>W27*Data!$F$7*1000</f>
        <v>547.6718446601941</v>
      </c>
      <c r="X77" s="143">
        <f>X27*Data!$F$7*1000</f>
        <v>547.6718446601941</v>
      </c>
      <c r="Y77" s="143">
        <f>Y27*Data!$F$7*1000</f>
        <v>547.6718446601941</v>
      </c>
      <c r="Z77" s="143">
        <f>Z27*Data!$F$7*1000</f>
        <v>547.6718446601941</v>
      </c>
      <c r="AA77" s="143">
        <f>AA27*Data!$F$7*1000</f>
        <v>547.6718446601941</v>
      </c>
      <c r="AB77" s="143">
        <f>AB27*Data!$F$7*1000</f>
        <v>547.6718446601941</v>
      </c>
      <c r="AC77" s="143">
        <f>AC27*Data!$F$7*1000</f>
        <v>547.6718446601941</v>
      </c>
      <c r="AD77" s="143">
        <f>AD27*Data!$F$7*1000</f>
        <v>547.6718446601941</v>
      </c>
      <c r="AE77" s="143">
        <f>AE27*Data!$F$7*1000</f>
        <v>547.6718446601941</v>
      </c>
    </row>
    <row r="78" spans="2:32" x14ac:dyDescent="0.35">
      <c r="C78" s="24" t="s">
        <v>299</v>
      </c>
      <c r="D78" s="105"/>
      <c r="E78" s="105" t="s">
        <v>194</v>
      </c>
      <c r="F78" s="106"/>
      <c r="G78" s="106" t="s">
        <v>134</v>
      </c>
      <c r="H78" s="143">
        <f>H70</f>
        <v>26.495559236285899</v>
      </c>
      <c r="I78" s="143">
        <f t="shared" ref="I78:AE78" si="33">I70</f>
        <v>62.814960669243646</v>
      </c>
      <c r="J78" s="143">
        <f t="shared" si="33"/>
        <v>89.214530580853392</v>
      </c>
      <c r="K78" s="143">
        <f t="shared" si="33"/>
        <v>135.93376981629356</v>
      </c>
      <c r="L78" s="143">
        <f t="shared" si="33"/>
        <v>204.27244184152073</v>
      </c>
      <c r="M78" s="143">
        <f t="shared" si="33"/>
        <v>285.84535117494562</v>
      </c>
      <c r="N78" s="143">
        <f t="shared" si="33"/>
        <v>374.98859074088983</v>
      </c>
      <c r="O78" s="143">
        <f t="shared" si="33"/>
        <v>471.70216053935258</v>
      </c>
      <c r="P78" s="143">
        <f t="shared" si="33"/>
        <v>568.60162389635582</v>
      </c>
      <c r="Q78" s="143">
        <f t="shared" si="33"/>
        <v>684.74887379637983</v>
      </c>
      <c r="R78" s="143">
        <f t="shared" si="33"/>
        <v>808.87938103251452</v>
      </c>
      <c r="S78" s="143">
        <f t="shared" si="33"/>
        <v>940.99314560476034</v>
      </c>
      <c r="T78" s="143">
        <f t="shared" si="33"/>
        <v>1081.0901675131172</v>
      </c>
      <c r="U78" s="143">
        <f t="shared" si="33"/>
        <v>1229.1704467575844</v>
      </c>
      <c r="V78" s="143">
        <f t="shared" si="33"/>
        <v>1330.7384395119825</v>
      </c>
      <c r="W78" s="143">
        <f t="shared" si="33"/>
        <v>1436.2685661413223</v>
      </c>
      <c r="X78" s="143">
        <f t="shared" si="33"/>
        <v>1545.7608266456041</v>
      </c>
      <c r="Y78" s="143">
        <f t="shared" si="33"/>
        <v>1659.2152210248269</v>
      </c>
      <c r="Z78" s="143">
        <f t="shared" si="33"/>
        <v>1776.6317492789919</v>
      </c>
      <c r="AA78" s="143">
        <f t="shared" si="33"/>
        <v>1895.8059858431643</v>
      </c>
      <c r="AB78" s="143">
        <f t="shared" si="33"/>
        <v>2018.8145455121194</v>
      </c>
      <c r="AC78" s="143">
        <f t="shared" si="33"/>
        <v>2118.8463217325379</v>
      </c>
      <c r="AD78" s="143">
        <f t="shared" si="33"/>
        <v>2187.9391365716424</v>
      </c>
      <c r="AE78" s="143">
        <f t="shared" si="33"/>
        <v>2257.0319514107468</v>
      </c>
    </row>
    <row r="79" spans="2:32" x14ac:dyDescent="0.35">
      <c r="C79" s="24" t="s">
        <v>280</v>
      </c>
      <c r="D79" s="105"/>
      <c r="E79" s="105" t="s">
        <v>194</v>
      </c>
      <c r="F79" s="106"/>
      <c r="G79" s="106" t="s">
        <v>134</v>
      </c>
      <c r="H79" s="143">
        <f>H73</f>
        <v>17.273203709776112</v>
      </c>
      <c r="I79" s="143">
        <f t="shared" ref="I79:AE79" si="34">I73</f>
        <v>24.950183136343309</v>
      </c>
      <c r="J79" s="143">
        <f t="shared" si="34"/>
        <v>42.223386846119425</v>
      </c>
      <c r="K79" s="143">
        <f t="shared" si="34"/>
        <v>47.981121416044772</v>
      </c>
      <c r="L79" s="143">
        <f t="shared" si="34"/>
        <v>49.900366272686561</v>
      </c>
      <c r="M79" s="143">
        <f t="shared" si="34"/>
        <v>49.90036627268659</v>
      </c>
      <c r="N79" s="143">
        <f t="shared" si="34"/>
        <v>49.900366272686526</v>
      </c>
      <c r="O79" s="143">
        <f t="shared" si="34"/>
        <v>47.981121416044779</v>
      </c>
      <c r="P79" s="143">
        <f t="shared" si="34"/>
        <v>49.900366272686568</v>
      </c>
      <c r="Q79" s="143">
        <f t="shared" si="34"/>
        <v>48.364970387373148</v>
      </c>
      <c r="R79" s="143">
        <f t="shared" si="34"/>
        <v>46.829574502059778</v>
      </c>
      <c r="S79" s="143">
        <f t="shared" si="34"/>
        <v>45.294178616746365</v>
      </c>
      <c r="T79" s="143">
        <f t="shared" si="34"/>
        <v>43.758782731432873</v>
      </c>
      <c r="U79" s="143">
        <f t="shared" si="34"/>
        <v>42.223386846119396</v>
      </c>
      <c r="V79" s="143">
        <f t="shared" si="34"/>
        <v>38.38489713283586</v>
      </c>
      <c r="W79" s="143">
        <f t="shared" si="34"/>
        <v>34.546407419552239</v>
      </c>
      <c r="X79" s="143">
        <f t="shared" si="34"/>
        <v>30.707917706268617</v>
      </c>
      <c r="Y79" s="143">
        <f t="shared" si="34"/>
        <v>26.869427992985038</v>
      </c>
      <c r="Z79" s="143">
        <f t="shared" si="34"/>
        <v>23.030938279701509</v>
      </c>
      <c r="AA79" s="143">
        <f t="shared" si="34"/>
        <v>18.424750623761277</v>
      </c>
      <c r="AB79" s="143">
        <f t="shared" si="34"/>
        <v>13.818562967820913</v>
      </c>
      <c r="AC79" s="143">
        <f t="shared" si="34"/>
        <v>9.212375311880594</v>
      </c>
      <c r="AD79" s="143">
        <f t="shared" si="34"/>
        <v>4.6061876559403192</v>
      </c>
      <c r="AE79" s="143">
        <f t="shared" si="34"/>
        <v>0</v>
      </c>
    </row>
    <row r="80" spans="2:32" ht="15" thickBot="1" x14ac:dyDescent="0.4">
      <c r="C80" s="107" t="s">
        <v>83</v>
      </c>
      <c r="D80" s="108"/>
      <c r="E80" s="108"/>
      <c r="F80" s="109"/>
      <c r="G80" s="109" t="s">
        <v>134</v>
      </c>
      <c r="H80" s="144">
        <f>H76</f>
        <v>0</v>
      </c>
      <c r="I80" s="144">
        <f t="shared" ref="I80:AE80" si="35">I76</f>
        <v>0</v>
      </c>
      <c r="J80" s="144">
        <f t="shared" si="35"/>
        <v>0</v>
      </c>
      <c r="K80" s="144">
        <f t="shared" si="35"/>
        <v>0</v>
      </c>
      <c r="L80" s="144">
        <f t="shared" si="35"/>
        <v>0</v>
      </c>
      <c r="M80" s="144">
        <f t="shared" si="35"/>
        <v>0</v>
      </c>
      <c r="N80" s="144">
        <f t="shared" si="35"/>
        <v>0</v>
      </c>
      <c r="O80" s="144">
        <f t="shared" si="35"/>
        <v>0</v>
      </c>
      <c r="P80" s="144">
        <f t="shared" si="35"/>
        <v>0</v>
      </c>
      <c r="Q80" s="144">
        <f t="shared" si="35"/>
        <v>0</v>
      </c>
      <c r="R80" s="144">
        <f t="shared" si="35"/>
        <v>0</v>
      </c>
      <c r="S80" s="144">
        <f t="shared" si="35"/>
        <v>0</v>
      </c>
      <c r="T80" s="144">
        <f t="shared" si="35"/>
        <v>0</v>
      </c>
      <c r="U80" s="144">
        <f t="shared" si="35"/>
        <v>0</v>
      </c>
      <c r="V80" s="144">
        <f t="shared" si="35"/>
        <v>0</v>
      </c>
      <c r="W80" s="144">
        <f t="shared" si="35"/>
        <v>0</v>
      </c>
      <c r="X80" s="144">
        <f t="shared" si="35"/>
        <v>0</v>
      </c>
      <c r="Y80" s="144">
        <f t="shared" si="35"/>
        <v>0</v>
      </c>
      <c r="Z80" s="144">
        <f t="shared" si="35"/>
        <v>0</v>
      </c>
      <c r="AA80" s="144">
        <f t="shared" si="35"/>
        <v>0</v>
      </c>
      <c r="AB80" s="144">
        <f t="shared" si="35"/>
        <v>0</v>
      </c>
      <c r="AC80" s="144">
        <f t="shared" si="35"/>
        <v>0</v>
      </c>
      <c r="AD80" s="144">
        <f t="shared" si="35"/>
        <v>0</v>
      </c>
      <c r="AE80" s="144">
        <f t="shared" si="35"/>
        <v>0</v>
      </c>
    </row>
    <row r="81" spans="2:31" ht="15" thickTop="1" x14ac:dyDescent="0.35">
      <c r="C81" s="24" t="s">
        <v>86</v>
      </c>
      <c r="D81" s="105"/>
      <c r="E81" s="105"/>
      <c r="F81" s="106" t="s">
        <v>195</v>
      </c>
      <c r="G81" s="106" t="s">
        <v>134</v>
      </c>
      <c r="H81" s="143">
        <f>SUM(H77:H80)</f>
        <v>639.36189401402441</v>
      </c>
      <c r="I81" s="143">
        <f t="shared" ref="I81:AE81" si="36">SUM(I77:I80)</f>
        <v>667.38451273762439</v>
      </c>
      <c r="J81" s="143">
        <f t="shared" si="36"/>
        <v>695.08352422308531</v>
      </c>
      <c r="K81" s="143">
        <f t="shared" si="36"/>
        <v>731.58673589253237</v>
      </c>
      <c r="L81" s="143">
        <f t="shared" si="36"/>
        <v>801.84465277440142</v>
      </c>
      <c r="M81" s="143">
        <f t="shared" si="36"/>
        <v>883.41756210782637</v>
      </c>
      <c r="N81" s="143">
        <f t="shared" si="36"/>
        <v>972.56080167377047</v>
      </c>
      <c r="O81" s="143">
        <f t="shared" si="36"/>
        <v>1067.3551266155914</v>
      </c>
      <c r="P81" s="143">
        <f t="shared" si="36"/>
        <v>1166.1738348292365</v>
      </c>
      <c r="Q81" s="143">
        <f t="shared" si="36"/>
        <v>1280.7856888439471</v>
      </c>
      <c r="R81" s="143">
        <f t="shared" si="36"/>
        <v>1403.3808001947684</v>
      </c>
      <c r="S81" s="143">
        <f t="shared" si="36"/>
        <v>1533.9591688817009</v>
      </c>
      <c r="T81" s="143">
        <f t="shared" si="36"/>
        <v>1672.520794904744</v>
      </c>
      <c r="U81" s="143">
        <f t="shared" si="36"/>
        <v>1819.065678263898</v>
      </c>
      <c r="V81" s="143">
        <f t="shared" si="36"/>
        <v>1916.7951813050124</v>
      </c>
      <c r="W81" s="143">
        <f t="shared" si="36"/>
        <v>2018.4868182210687</v>
      </c>
      <c r="X81" s="143">
        <f t="shared" si="36"/>
        <v>2124.1405890120668</v>
      </c>
      <c r="Y81" s="143">
        <f t="shared" si="36"/>
        <v>2233.7564936780059</v>
      </c>
      <c r="Z81" s="143">
        <f t="shared" si="36"/>
        <v>2347.3345322188875</v>
      </c>
      <c r="AA81" s="143">
        <f t="shared" si="36"/>
        <v>2461.9025811271194</v>
      </c>
      <c r="AB81" s="143">
        <f t="shared" si="36"/>
        <v>2580.3049531401343</v>
      </c>
      <c r="AC81" s="143">
        <f t="shared" si="36"/>
        <v>2675.7305417046127</v>
      </c>
      <c r="AD81" s="143">
        <f t="shared" si="36"/>
        <v>2740.2171688877766</v>
      </c>
      <c r="AE81" s="143">
        <f t="shared" si="36"/>
        <v>2804.7037960709408</v>
      </c>
    </row>
    <row r="82" spans="2:31" x14ac:dyDescent="0.35">
      <c r="H82" s="143">
        <f>H77+H28</f>
        <v>664.68594590706766</v>
      </c>
      <c r="I82" s="143">
        <f>I77+I28</f>
        <v>729.32046775009758</v>
      </c>
      <c r="J82" s="143">
        <f>J77+J28</f>
        <v>759.40858217357584</v>
      </c>
      <c r="K82" s="143">
        <f>K77+K28</f>
        <v>824.04310401661269</v>
      </c>
    </row>
    <row r="84" spans="2:31" x14ac:dyDescent="0.35">
      <c r="C84" s="24" t="s">
        <v>196</v>
      </c>
      <c r="D84" s="27"/>
      <c r="E84" s="27"/>
      <c r="F84" s="23"/>
      <c r="G84" s="23"/>
    </row>
    <row r="85" spans="2:31" x14ac:dyDescent="0.35">
      <c r="C85" s="48" t="s">
        <v>110</v>
      </c>
      <c r="D85" s="93" t="s">
        <v>111</v>
      </c>
      <c r="E85" s="93" t="s">
        <v>75</v>
      </c>
      <c r="F85" s="93" t="s">
        <v>93</v>
      </c>
      <c r="G85" s="40" t="s">
        <v>94</v>
      </c>
      <c r="H85" s="136">
        <v>2027</v>
      </c>
      <c r="I85" s="137">
        <v>2028</v>
      </c>
      <c r="J85" s="137">
        <v>2029</v>
      </c>
      <c r="K85" s="137">
        <v>2030</v>
      </c>
      <c r="L85" s="137">
        <v>2031</v>
      </c>
      <c r="M85" s="137">
        <v>2032</v>
      </c>
      <c r="N85" s="137">
        <v>2033</v>
      </c>
      <c r="O85" s="137">
        <v>2034</v>
      </c>
      <c r="P85" s="137">
        <v>2035</v>
      </c>
      <c r="Q85" s="136">
        <v>2036</v>
      </c>
      <c r="R85" s="136">
        <v>2037</v>
      </c>
      <c r="S85" s="137">
        <v>2038</v>
      </c>
      <c r="T85" s="137">
        <v>2039</v>
      </c>
      <c r="U85" s="137">
        <v>2040</v>
      </c>
      <c r="V85" s="137">
        <v>2041</v>
      </c>
      <c r="W85" s="137">
        <v>2042</v>
      </c>
      <c r="X85" s="137">
        <v>2043</v>
      </c>
      <c r="Y85" s="137">
        <v>2044</v>
      </c>
      <c r="Z85" s="137">
        <v>2045</v>
      </c>
      <c r="AA85" s="136">
        <v>2046</v>
      </c>
      <c r="AB85" s="136">
        <v>2047</v>
      </c>
      <c r="AC85" s="137">
        <v>2048</v>
      </c>
      <c r="AD85" s="137">
        <v>2049</v>
      </c>
      <c r="AE85" s="137">
        <v>2050</v>
      </c>
    </row>
    <row r="86" spans="2:31" x14ac:dyDescent="0.35">
      <c r="C86" s="20" t="s">
        <v>197</v>
      </c>
      <c r="D86" s="27"/>
      <c r="E86" s="27" t="s">
        <v>198</v>
      </c>
      <c r="F86" s="23" t="s">
        <v>166</v>
      </c>
      <c r="G86" s="23" t="s">
        <v>120</v>
      </c>
      <c r="H86" s="38">
        <f>H$45-H$35</f>
        <v>22.551555647397045</v>
      </c>
      <c r="I86" s="38">
        <f t="shared" ref="I86:AE86" si="37">I$45-I$35</f>
        <v>24.219613423269728</v>
      </c>
      <c r="J86" s="38">
        <f t="shared" si="37"/>
        <v>25.880459234841922</v>
      </c>
      <c r="K86" s="38">
        <f t="shared" si="37"/>
        <v>27.530764959114798</v>
      </c>
      <c r="L86" s="38">
        <f t="shared" si="37"/>
        <v>28.274231477428991</v>
      </c>
      <c r="M86" s="38">
        <f t="shared" si="37"/>
        <v>29.007403680275615</v>
      </c>
      <c r="N86" s="38">
        <f t="shared" si="37"/>
        <v>29.732233730912881</v>
      </c>
      <c r="O86" s="38">
        <f t="shared" si="37"/>
        <v>30.444789099220309</v>
      </c>
      <c r="P86" s="38">
        <f t="shared" si="37"/>
        <v>31.147050152060153</v>
      </c>
      <c r="Q86" s="38">
        <f t="shared" si="37"/>
        <v>32.052700642481767</v>
      </c>
      <c r="R86" s="38">
        <f t="shared" si="37"/>
        <v>32.948272845131157</v>
      </c>
      <c r="S86" s="38">
        <f t="shared" si="37"/>
        <v>33.829007726167099</v>
      </c>
      <c r="T86" s="38">
        <f t="shared" si="37"/>
        <v>34.697301844650696</v>
      </c>
      <c r="U86" s="38">
        <f t="shared" si="37"/>
        <v>35.553155200581955</v>
      </c>
      <c r="V86" s="38">
        <f t="shared" si="37"/>
        <v>36.611771449655208</v>
      </c>
      <c r="W86" s="38">
        <f t="shared" si="37"/>
        <v>37.653057549812772</v>
      </c>
      <c r="X86" s="38">
        <f>X$45-X$35</f>
        <v>38.679860211886421</v>
      </c>
      <c r="Y86" s="38">
        <f t="shared" si="37"/>
        <v>39.692179435876163</v>
      </c>
      <c r="Z86" s="38">
        <f t="shared" si="37"/>
        <v>40.692663420638233</v>
      </c>
      <c r="AA86" s="38">
        <f t="shared" si="37"/>
        <v>41.944523038100193</v>
      </c>
      <c r="AB86" s="38">
        <f t="shared" si="37"/>
        <v>43.179262222820526</v>
      </c>
      <c r="AC86" s="38">
        <f t="shared" si="37"/>
        <v>44.396880974799267</v>
      </c>
      <c r="AD86" s="38">
        <f t="shared" si="37"/>
        <v>45.600587796991711</v>
      </c>
      <c r="AE86" s="38">
        <f t="shared" si="37"/>
        <v>46.78391877819201</v>
      </c>
    </row>
    <row r="87" spans="2:31" x14ac:dyDescent="0.35">
      <c r="C87" s="20" t="s">
        <v>199</v>
      </c>
      <c r="D87" s="27"/>
      <c r="E87" s="27"/>
      <c r="F87" s="23" t="s">
        <v>168</v>
      </c>
      <c r="G87" s="23" t="s">
        <v>169</v>
      </c>
      <c r="H87" s="38">
        <f>H$31-H$43</f>
        <v>6.053732485947047E-2</v>
      </c>
      <c r="I87" s="38">
        <f t="shared" ref="I87:AE87" si="38">I$31-I$43</f>
        <v>6.053732485947047E-2</v>
      </c>
      <c r="J87" s="38">
        <f t="shared" si="38"/>
        <v>6.053732485947047E-2</v>
      </c>
      <c r="K87" s="38">
        <f t="shared" si="38"/>
        <v>6.053732485947047E-2</v>
      </c>
      <c r="L87" s="38">
        <f t="shared" si="38"/>
        <v>6.053732485947047E-2</v>
      </c>
      <c r="M87" s="38">
        <f t="shared" si="38"/>
        <v>6.053732485947047E-2</v>
      </c>
      <c r="N87" s="38">
        <f t="shared" si="38"/>
        <v>6.053732485947047E-2</v>
      </c>
      <c r="O87" s="38">
        <f t="shared" si="38"/>
        <v>6.053732485947047E-2</v>
      </c>
      <c r="P87" s="38">
        <f t="shared" si="38"/>
        <v>6.053732485947047E-2</v>
      </c>
      <c r="Q87" s="38">
        <f t="shared" si="38"/>
        <v>6.053732485947047E-2</v>
      </c>
      <c r="R87" s="38">
        <f t="shared" si="38"/>
        <v>6.053732485947047E-2</v>
      </c>
      <c r="S87" s="38">
        <f t="shared" si="38"/>
        <v>6.053732485947047E-2</v>
      </c>
      <c r="T87" s="38">
        <f t="shared" si="38"/>
        <v>6.053732485947047E-2</v>
      </c>
      <c r="U87" s="38">
        <f t="shared" si="38"/>
        <v>6.053732485947047E-2</v>
      </c>
      <c r="V87" s="38">
        <f t="shared" si="38"/>
        <v>6.053732485947047E-2</v>
      </c>
      <c r="W87" s="38">
        <f t="shared" si="38"/>
        <v>6.053732485947047E-2</v>
      </c>
      <c r="X87" s="38">
        <f>X$31-X$43</f>
        <v>6.053732485947047E-2</v>
      </c>
      <c r="Y87" s="38">
        <f t="shared" si="38"/>
        <v>6.053732485947047E-2</v>
      </c>
      <c r="Z87" s="38">
        <f t="shared" si="38"/>
        <v>6.053732485947047E-2</v>
      </c>
      <c r="AA87" s="38">
        <f t="shared" si="38"/>
        <v>6.053732485947047E-2</v>
      </c>
      <c r="AB87" s="38">
        <f t="shared" si="38"/>
        <v>6.053732485947047E-2</v>
      </c>
      <c r="AC87" s="38">
        <f t="shared" si="38"/>
        <v>6.053732485947047E-2</v>
      </c>
      <c r="AD87" s="38">
        <f t="shared" si="38"/>
        <v>6.053732485947047E-2</v>
      </c>
      <c r="AE87" s="38">
        <f t="shared" si="38"/>
        <v>6.053732485947047E-2</v>
      </c>
    </row>
    <row r="88" spans="2:31" x14ac:dyDescent="0.35">
      <c r="C88" s="20" t="s">
        <v>200</v>
      </c>
      <c r="D88" s="27"/>
      <c r="E88" s="27" t="s">
        <v>171</v>
      </c>
      <c r="F88" s="23" t="s">
        <v>172</v>
      </c>
      <c r="G88" s="23" t="s">
        <v>155</v>
      </c>
      <c r="H88" s="38">
        <f>H86/H87</f>
        <v>372.52316153294765</v>
      </c>
      <c r="I88" s="38">
        <f t="shared" ref="I88:W88" si="39">I86/I87</f>
        <v>400.07736515434755</v>
      </c>
      <c r="J88" s="38">
        <f t="shared" si="39"/>
        <v>427.51243625185032</v>
      </c>
      <c r="K88" s="38">
        <f t="shared" si="39"/>
        <v>454.77339844507316</v>
      </c>
      <c r="L88" s="38">
        <f t="shared" si="39"/>
        <v>467.05452451134806</v>
      </c>
      <c r="M88" s="38">
        <f t="shared" si="39"/>
        <v>479.16560151299274</v>
      </c>
      <c r="N88" s="38">
        <f t="shared" si="39"/>
        <v>491.1388767166768</v>
      </c>
      <c r="O88" s="38">
        <f t="shared" si="39"/>
        <v>502.90938970121209</v>
      </c>
      <c r="P88" s="38">
        <f t="shared" si="39"/>
        <v>514.50985362111692</v>
      </c>
      <c r="Q88" s="38">
        <f t="shared" si="39"/>
        <v>529.47005367164707</v>
      </c>
      <c r="R88" s="38">
        <f t="shared" si="39"/>
        <v>544.26377316170294</v>
      </c>
      <c r="S88" s="38">
        <f t="shared" si="39"/>
        <v>558.81239887452477</v>
      </c>
      <c r="T88" s="38">
        <f t="shared" si="39"/>
        <v>573.15551893308748</v>
      </c>
      <c r="U88" s="38">
        <f t="shared" si="39"/>
        <v>587.29313333739117</v>
      </c>
      <c r="V88" s="38">
        <f t="shared" si="39"/>
        <v>604.78013415103283</v>
      </c>
      <c r="W88" s="38">
        <f t="shared" si="39"/>
        <v>621.98086283494433</v>
      </c>
      <c r="X88" s="38">
        <f>X86/X87</f>
        <v>638.9423434497096</v>
      </c>
      <c r="Y88" s="38">
        <f t="shared" ref="Y88:AE88" si="40">Y86/Y87</f>
        <v>655.66457599532851</v>
      </c>
      <c r="Z88" s="38">
        <f t="shared" si="40"/>
        <v>672.19130536575506</v>
      </c>
      <c r="AA88" s="38">
        <f t="shared" si="40"/>
        <v>692.87044208624923</v>
      </c>
      <c r="AB88" s="38">
        <f t="shared" si="40"/>
        <v>713.26677092282443</v>
      </c>
      <c r="AC88" s="38">
        <f t="shared" si="40"/>
        <v>733.38029187548102</v>
      </c>
      <c r="AD88" s="38">
        <f t="shared" si="40"/>
        <v>753.26400535285541</v>
      </c>
      <c r="AE88" s="38">
        <f t="shared" si="40"/>
        <v>772.81113572155357</v>
      </c>
    </row>
    <row r="89" spans="2:31" x14ac:dyDescent="0.35">
      <c r="B89" s="104" t="s">
        <v>277</v>
      </c>
      <c r="C89" s="20" t="s">
        <v>201</v>
      </c>
      <c r="D89" s="27"/>
      <c r="E89" s="27" t="s">
        <v>174</v>
      </c>
      <c r="F89" s="23" t="s">
        <v>153</v>
      </c>
      <c r="G89" s="23" t="s">
        <v>155</v>
      </c>
      <c r="H89" s="38">
        <f>H88-$H$16</f>
        <v>372.52316153294765</v>
      </c>
      <c r="I89" s="38">
        <f t="shared" ref="I89:W89" si="41">I88-$H$16</f>
        <v>400.07736515434755</v>
      </c>
      <c r="J89" s="38">
        <f t="shared" si="41"/>
        <v>427.51243625185032</v>
      </c>
      <c r="K89" s="38">
        <f t="shared" si="41"/>
        <v>454.77339844507316</v>
      </c>
      <c r="L89" s="38">
        <f t="shared" si="41"/>
        <v>467.05452451134806</v>
      </c>
      <c r="M89" s="38">
        <f t="shared" si="41"/>
        <v>479.16560151299274</v>
      </c>
      <c r="N89" s="38">
        <f t="shared" si="41"/>
        <v>491.1388767166768</v>
      </c>
      <c r="O89" s="38">
        <f t="shared" si="41"/>
        <v>502.90938970121209</v>
      </c>
      <c r="P89" s="38">
        <f t="shared" si="41"/>
        <v>514.50985362111692</v>
      </c>
      <c r="Q89" s="38">
        <f t="shared" si="41"/>
        <v>529.47005367164707</v>
      </c>
      <c r="R89" s="38">
        <f t="shared" si="41"/>
        <v>544.26377316170294</v>
      </c>
      <c r="S89" s="38">
        <f t="shared" si="41"/>
        <v>558.81239887452477</v>
      </c>
      <c r="T89" s="38">
        <f t="shared" si="41"/>
        <v>573.15551893308748</v>
      </c>
      <c r="U89" s="38">
        <f t="shared" si="41"/>
        <v>587.29313333739117</v>
      </c>
      <c r="V89" s="38">
        <f t="shared" si="41"/>
        <v>604.78013415103283</v>
      </c>
      <c r="W89" s="38">
        <f t="shared" si="41"/>
        <v>621.98086283494433</v>
      </c>
      <c r="X89" s="38">
        <f>X88-$H$16</f>
        <v>638.9423434497096</v>
      </c>
      <c r="Y89" s="38">
        <f t="shared" ref="Y89:AE89" si="42">Y88-$H$16</f>
        <v>655.66457599532851</v>
      </c>
      <c r="Z89" s="38">
        <f t="shared" si="42"/>
        <v>672.19130536575506</v>
      </c>
      <c r="AA89" s="38">
        <f t="shared" si="42"/>
        <v>692.87044208624923</v>
      </c>
      <c r="AB89" s="38">
        <f t="shared" si="42"/>
        <v>713.26677092282443</v>
      </c>
      <c r="AC89" s="38">
        <f t="shared" si="42"/>
        <v>733.38029187548102</v>
      </c>
      <c r="AD89" s="38">
        <f t="shared" si="42"/>
        <v>753.26400535285541</v>
      </c>
      <c r="AE89" s="38">
        <f t="shared" si="42"/>
        <v>772.81113572155357</v>
      </c>
    </row>
    <row r="90" spans="2:31" x14ac:dyDescent="0.35">
      <c r="C90" s="20" t="s">
        <v>175</v>
      </c>
      <c r="D90" s="27"/>
      <c r="E90" s="27" t="s">
        <v>176</v>
      </c>
      <c r="F90" s="23" t="s">
        <v>177</v>
      </c>
      <c r="G90" s="23" t="s">
        <v>159</v>
      </c>
      <c r="H90" s="38">
        <f>MIN(H89,H18)</f>
        <v>372.52316153294765</v>
      </c>
      <c r="I90" s="38">
        <f t="shared" ref="I90:AE90" si="43">MIN(I89:I89)</f>
        <v>400.07736515434755</v>
      </c>
      <c r="J90" s="38">
        <f t="shared" si="43"/>
        <v>427.51243625185032</v>
      </c>
      <c r="K90" s="38">
        <f t="shared" si="43"/>
        <v>454.77339844507316</v>
      </c>
      <c r="L90" s="38">
        <f t="shared" si="43"/>
        <v>467.05452451134806</v>
      </c>
      <c r="M90" s="38">
        <f t="shared" si="43"/>
        <v>479.16560151299274</v>
      </c>
      <c r="N90" s="38">
        <f t="shared" si="43"/>
        <v>491.1388767166768</v>
      </c>
      <c r="O90" s="38">
        <f t="shared" si="43"/>
        <v>502.90938970121209</v>
      </c>
      <c r="P90" s="38">
        <f t="shared" si="43"/>
        <v>514.50985362111692</v>
      </c>
      <c r="Q90" s="38">
        <f t="shared" si="43"/>
        <v>529.47005367164707</v>
      </c>
      <c r="R90" s="38">
        <f t="shared" si="43"/>
        <v>544.26377316170294</v>
      </c>
      <c r="S90" s="38">
        <f t="shared" si="43"/>
        <v>558.81239887452477</v>
      </c>
      <c r="T90" s="38">
        <f t="shared" si="43"/>
        <v>573.15551893308748</v>
      </c>
      <c r="U90" s="38">
        <f t="shared" si="43"/>
        <v>587.29313333739117</v>
      </c>
      <c r="V90" s="38">
        <f t="shared" si="43"/>
        <v>604.78013415103283</v>
      </c>
      <c r="W90" s="38">
        <f t="shared" si="43"/>
        <v>621.98086283494433</v>
      </c>
      <c r="X90" s="38">
        <f t="shared" si="43"/>
        <v>638.9423434497096</v>
      </c>
      <c r="Y90" s="38">
        <f t="shared" si="43"/>
        <v>655.66457599532851</v>
      </c>
      <c r="Z90" s="38">
        <f t="shared" si="43"/>
        <v>672.19130536575506</v>
      </c>
      <c r="AA90" s="38">
        <f t="shared" si="43"/>
        <v>692.87044208624923</v>
      </c>
      <c r="AB90" s="38">
        <f t="shared" si="43"/>
        <v>713.26677092282443</v>
      </c>
      <c r="AC90" s="38">
        <f t="shared" si="43"/>
        <v>733.38029187548102</v>
      </c>
      <c r="AD90" s="38">
        <f t="shared" si="43"/>
        <v>753.26400535285541</v>
      </c>
      <c r="AE90" s="38">
        <f t="shared" si="43"/>
        <v>772.81113572155357</v>
      </c>
    </row>
    <row r="91" spans="2:31" x14ac:dyDescent="0.35">
      <c r="C91" s="20" t="s">
        <v>178</v>
      </c>
      <c r="D91" s="27"/>
      <c r="E91" s="27" t="s">
        <v>179</v>
      </c>
      <c r="F91" s="23" t="s">
        <v>177</v>
      </c>
      <c r="G91" s="23"/>
      <c r="H91" s="38" t="str">
        <f>IF(H90=H$18,$C$18,$C$89)</f>
        <v>Bio-methane abatement cost minus levy savings</v>
      </c>
      <c r="I91" s="38" t="str">
        <f t="shared" ref="I91:AE91" si="44">IF(I90=I$18,$C$18,$C$89)</f>
        <v>Bio-methane abatement cost minus levy savings</v>
      </c>
      <c r="J91" s="38" t="str">
        <f t="shared" si="44"/>
        <v>Bio-methane abatement cost minus levy savings</v>
      </c>
      <c r="K91" s="38" t="str">
        <f t="shared" si="44"/>
        <v>Bio-methane abatement cost minus levy savings</v>
      </c>
      <c r="L91" s="38" t="str">
        <f t="shared" si="44"/>
        <v>Bio-methane abatement cost minus levy savings</v>
      </c>
      <c r="M91" s="38" t="str">
        <f t="shared" si="44"/>
        <v>Bio-methane abatement cost minus levy savings</v>
      </c>
      <c r="N91" s="38" t="str">
        <f t="shared" si="44"/>
        <v>Bio-methane abatement cost minus levy savings</v>
      </c>
      <c r="O91" s="38" t="str">
        <f t="shared" si="44"/>
        <v>Bio-methane abatement cost minus levy savings</v>
      </c>
      <c r="P91" s="38" t="str">
        <f t="shared" si="44"/>
        <v>Bio-methane abatement cost minus levy savings</v>
      </c>
      <c r="Q91" s="38" t="str">
        <f t="shared" si="44"/>
        <v>Bio-methane abatement cost minus levy savings</v>
      </c>
      <c r="R91" s="38" t="str">
        <f t="shared" si="44"/>
        <v>Bio-methane abatement cost minus levy savings</v>
      </c>
      <c r="S91" s="38" t="str">
        <f t="shared" si="44"/>
        <v>Bio-methane abatement cost minus levy savings</v>
      </c>
      <c r="T91" s="38" t="str">
        <f t="shared" si="44"/>
        <v>Bio-methane abatement cost minus levy savings</v>
      </c>
      <c r="U91" s="38" t="str">
        <f t="shared" si="44"/>
        <v>Bio-methane abatement cost minus levy savings</v>
      </c>
      <c r="V91" s="38" t="str">
        <f t="shared" si="44"/>
        <v>Bio-methane abatement cost minus levy savings</v>
      </c>
      <c r="W91" s="38" t="str">
        <f t="shared" si="44"/>
        <v>Bio-methane abatement cost minus levy savings</v>
      </c>
      <c r="X91" s="38" t="str">
        <f t="shared" si="44"/>
        <v>Bio-methane abatement cost minus levy savings</v>
      </c>
      <c r="Y91" s="38" t="str">
        <f t="shared" si="44"/>
        <v>Bio-methane abatement cost minus levy savings</v>
      </c>
      <c r="Z91" s="38" t="str">
        <f t="shared" si="44"/>
        <v>Bio-methane abatement cost minus levy savings</v>
      </c>
      <c r="AA91" s="38" t="str">
        <f t="shared" si="44"/>
        <v>Bio-methane abatement cost minus levy savings</v>
      </c>
      <c r="AB91" s="38" t="str">
        <f t="shared" si="44"/>
        <v>Bio-methane abatement cost minus levy savings</v>
      </c>
      <c r="AC91" s="38" t="str">
        <f t="shared" si="44"/>
        <v>Bio-methane abatement cost minus levy savings</v>
      </c>
      <c r="AD91" s="38" t="str">
        <f t="shared" si="44"/>
        <v>Bio-methane abatement cost minus levy savings</v>
      </c>
      <c r="AE91" s="38" t="str">
        <f t="shared" si="44"/>
        <v>Bio-methane abatement cost minus levy savings</v>
      </c>
    </row>
    <row r="92" spans="2:31" x14ac:dyDescent="0.35">
      <c r="C92" s="20" t="s">
        <v>180</v>
      </c>
      <c r="D92" s="27"/>
      <c r="E92" s="27" t="s">
        <v>181</v>
      </c>
      <c r="F92" s="23" t="s">
        <v>177</v>
      </c>
      <c r="G92" s="23" t="s">
        <v>134</v>
      </c>
      <c r="H92" s="38">
        <f t="shared" ref="H92:AE92" si="45">IF(H91=$C18,H$36,H$88*H32)</f>
        <v>0</v>
      </c>
      <c r="I92" s="38">
        <f t="shared" si="45"/>
        <v>0</v>
      </c>
      <c r="J92" s="38">
        <f t="shared" si="45"/>
        <v>0</v>
      </c>
      <c r="K92" s="38">
        <f t="shared" si="45"/>
        <v>0</v>
      </c>
      <c r="L92" s="38">
        <f t="shared" si="45"/>
        <v>0</v>
      </c>
      <c r="M92" s="38">
        <f t="shared" si="45"/>
        <v>59.237919756961141</v>
      </c>
      <c r="N92" s="38">
        <f t="shared" si="45"/>
        <v>164.40587663152442</v>
      </c>
      <c r="O92" s="38">
        <f t="shared" si="45"/>
        <v>274.51867580423982</v>
      </c>
      <c r="P92" s="38">
        <f t="shared" si="45"/>
        <v>379.59795689792099</v>
      </c>
      <c r="Q92" s="38">
        <f t="shared" si="45"/>
        <v>508.51256750890775</v>
      </c>
      <c r="R92" s="38">
        <f t="shared" si="45"/>
        <v>643.89147381076191</v>
      </c>
      <c r="S92" s="38">
        <f t="shared" si="45"/>
        <v>785.51297865479455</v>
      </c>
      <c r="T92" s="38">
        <f t="shared" si="45"/>
        <v>933.27784653356809</v>
      </c>
      <c r="U92" s="38">
        <f t="shared" si="45"/>
        <v>1087.0488207939406</v>
      </c>
      <c r="V92" s="38">
        <f t="shared" si="45"/>
        <v>1191.3810551702393</v>
      </c>
      <c r="W92" s="38">
        <f t="shared" si="45"/>
        <v>1299.2769536796377</v>
      </c>
      <c r="X92" s="38">
        <f t="shared" si="45"/>
        <v>1410.7381487281596</v>
      </c>
      <c r="Y92" s="38">
        <f t="shared" si="45"/>
        <v>1525.6792336493372</v>
      </c>
      <c r="Z92" s="38">
        <f t="shared" si="45"/>
        <v>1644.1217980040074</v>
      </c>
      <c r="AA92" s="38">
        <f t="shared" si="45"/>
        <v>1774.4884599107706</v>
      </c>
      <c r="AB92" s="38">
        <f t="shared" si="45"/>
        <v>1908.8608640979764</v>
      </c>
      <c r="AC92" s="38">
        <f t="shared" si="45"/>
        <v>2047.1413106018322</v>
      </c>
      <c r="AD92" s="38">
        <f t="shared" si="45"/>
        <v>2189.3861468570954</v>
      </c>
      <c r="AE92" s="38">
        <f t="shared" si="45"/>
        <v>2335.1933400967937</v>
      </c>
    </row>
    <row r="93" spans="2:31" x14ac:dyDescent="0.35">
      <c r="B93" s="104" t="s">
        <v>265</v>
      </c>
      <c r="C93" s="20" t="s">
        <v>175</v>
      </c>
      <c r="D93" s="27"/>
      <c r="E93" s="27" t="s">
        <v>176</v>
      </c>
      <c r="F93" s="23" t="s">
        <v>177</v>
      </c>
      <c r="G93" s="23" t="s">
        <v>159</v>
      </c>
      <c r="H93" s="38">
        <f>MIN(H$19,H90)</f>
        <v>100</v>
      </c>
      <c r="I93" s="38">
        <f t="shared" ref="I93:W93" si="46">MIN(I$19,I90)</f>
        <v>100</v>
      </c>
      <c r="J93" s="38">
        <f t="shared" si="46"/>
        <v>100</v>
      </c>
      <c r="K93" s="38">
        <f t="shared" si="46"/>
        <v>100</v>
      </c>
      <c r="L93" s="38">
        <f t="shared" si="46"/>
        <v>100</v>
      </c>
      <c r="M93" s="38">
        <f t="shared" si="46"/>
        <v>100</v>
      </c>
      <c r="N93" s="38">
        <f t="shared" si="46"/>
        <v>100</v>
      </c>
      <c r="O93" s="38">
        <f t="shared" si="46"/>
        <v>100</v>
      </c>
      <c r="P93" s="38">
        <f t="shared" si="46"/>
        <v>100</v>
      </c>
      <c r="Q93" s="38">
        <f t="shared" si="46"/>
        <v>100</v>
      </c>
      <c r="R93" s="38">
        <f t="shared" si="46"/>
        <v>100</v>
      </c>
      <c r="S93" s="38">
        <f t="shared" si="46"/>
        <v>100</v>
      </c>
      <c r="T93" s="38">
        <f t="shared" si="46"/>
        <v>100</v>
      </c>
      <c r="U93" s="38">
        <f t="shared" si="46"/>
        <v>100</v>
      </c>
      <c r="V93" s="38">
        <f t="shared" si="46"/>
        <v>100</v>
      </c>
      <c r="W93" s="38">
        <f t="shared" si="46"/>
        <v>100</v>
      </c>
      <c r="X93" s="38">
        <f>MIN(X$19,X90)</f>
        <v>100</v>
      </c>
      <c r="Y93" s="38">
        <f t="shared" ref="Y93:AE93" si="47">MIN(Y$19,Y90)</f>
        <v>100</v>
      </c>
      <c r="Z93" s="38">
        <f t="shared" si="47"/>
        <v>100</v>
      </c>
      <c r="AA93" s="38">
        <f t="shared" si="47"/>
        <v>100</v>
      </c>
      <c r="AB93" s="38">
        <f t="shared" si="47"/>
        <v>100</v>
      </c>
      <c r="AC93" s="38">
        <f t="shared" si="47"/>
        <v>100</v>
      </c>
      <c r="AD93" s="38">
        <f t="shared" si="47"/>
        <v>100</v>
      </c>
      <c r="AE93" s="38">
        <f t="shared" si="47"/>
        <v>100</v>
      </c>
    </row>
    <row r="94" spans="2:31" x14ac:dyDescent="0.35">
      <c r="C94" s="20" t="s">
        <v>178</v>
      </c>
      <c r="D94" s="27"/>
      <c r="E94" s="27" t="s">
        <v>179</v>
      </c>
      <c r="F94" s="23" t="s">
        <v>177</v>
      </c>
      <c r="G94" s="23"/>
      <c r="H94" s="38" t="str">
        <f>IF(H93=H$19,$C$19,$C$89)</f>
        <v>Lower Remedial Unit Cost</v>
      </c>
      <c r="I94" s="38" t="str">
        <f t="shared" ref="I94:AE94" si="48">IF(I93=I$19,$C$19,$C$89)</f>
        <v>Lower Remedial Unit Cost</v>
      </c>
      <c r="J94" s="38" t="str">
        <f t="shared" si="48"/>
        <v>Lower Remedial Unit Cost</v>
      </c>
      <c r="K94" s="38" t="str">
        <f t="shared" si="48"/>
        <v>Lower Remedial Unit Cost</v>
      </c>
      <c r="L94" s="38" t="str">
        <f t="shared" si="48"/>
        <v>Lower Remedial Unit Cost</v>
      </c>
      <c r="M94" s="38" t="str">
        <f t="shared" si="48"/>
        <v>Lower Remedial Unit Cost</v>
      </c>
      <c r="N94" s="38" t="str">
        <f t="shared" si="48"/>
        <v>Lower Remedial Unit Cost</v>
      </c>
      <c r="O94" s="38" t="str">
        <f t="shared" si="48"/>
        <v>Lower Remedial Unit Cost</v>
      </c>
      <c r="P94" s="38" t="str">
        <f t="shared" si="48"/>
        <v>Lower Remedial Unit Cost</v>
      </c>
      <c r="Q94" s="38" t="str">
        <f t="shared" si="48"/>
        <v>Lower Remedial Unit Cost</v>
      </c>
      <c r="R94" s="38" t="str">
        <f t="shared" si="48"/>
        <v>Lower Remedial Unit Cost</v>
      </c>
      <c r="S94" s="38" t="str">
        <f t="shared" si="48"/>
        <v>Lower Remedial Unit Cost</v>
      </c>
      <c r="T94" s="38" t="str">
        <f t="shared" si="48"/>
        <v>Lower Remedial Unit Cost</v>
      </c>
      <c r="U94" s="38" t="str">
        <f t="shared" si="48"/>
        <v>Lower Remedial Unit Cost</v>
      </c>
      <c r="V94" s="38" t="str">
        <f t="shared" si="48"/>
        <v>Lower Remedial Unit Cost</v>
      </c>
      <c r="W94" s="38" t="str">
        <f t="shared" si="48"/>
        <v>Lower Remedial Unit Cost</v>
      </c>
      <c r="X94" s="38" t="str">
        <f t="shared" si="48"/>
        <v>Lower Remedial Unit Cost</v>
      </c>
      <c r="Y94" s="38" t="str">
        <f t="shared" si="48"/>
        <v>Lower Remedial Unit Cost</v>
      </c>
      <c r="Z94" s="38" t="str">
        <f t="shared" si="48"/>
        <v>Lower Remedial Unit Cost</v>
      </c>
      <c r="AA94" s="38" t="str">
        <f t="shared" si="48"/>
        <v>Lower Remedial Unit Cost</v>
      </c>
      <c r="AB94" s="38" t="str">
        <f t="shared" si="48"/>
        <v>Lower Remedial Unit Cost</v>
      </c>
      <c r="AC94" s="38" t="str">
        <f t="shared" si="48"/>
        <v>Lower Remedial Unit Cost</v>
      </c>
      <c r="AD94" s="38" t="str">
        <f t="shared" si="48"/>
        <v>Lower Remedial Unit Cost</v>
      </c>
      <c r="AE94" s="38" t="str">
        <f t="shared" si="48"/>
        <v>Lower Remedial Unit Cost</v>
      </c>
    </row>
    <row r="95" spans="2:31" x14ac:dyDescent="0.35">
      <c r="C95" s="20" t="s">
        <v>268</v>
      </c>
      <c r="D95" s="27"/>
      <c r="E95" s="27" t="s">
        <v>181</v>
      </c>
      <c r="F95" s="23" t="s">
        <v>177</v>
      </c>
      <c r="G95" s="23" t="s">
        <v>134</v>
      </c>
      <c r="H95" s="38">
        <f>IF(H94=$C$19,H$37,H$66*H$33)</f>
        <v>0</v>
      </c>
      <c r="I95" s="38">
        <f t="shared" ref="I95:W95" si="49">IF(I94=$C$19,I$37,I$66*I$33)</f>
        <v>0</v>
      </c>
      <c r="J95" s="38">
        <f t="shared" si="49"/>
        <v>0.84725463871646056</v>
      </c>
      <c r="K95" s="38">
        <f t="shared" si="49"/>
        <v>20.039703205134359</v>
      </c>
      <c r="L95" s="38">
        <f t="shared" si="49"/>
        <v>41.151396628194043</v>
      </c>
      <c r="M95" s="38">
        <f t="shared" si="49"/>
        <v>49.90036627268659</v>
      </c>
      <c r="N95" s="38">
        <f t="shared" si="49"/>
        <v>49.900366272686533</v>
      </c>
      <c r="O95" s="38">
        <f t="shared" si="49"/>
        <v>47.981121416044779</v>
      </c>
      <c r="P95" s="38">
        <f t="shared" si="49"/>
        <v>49.900366272686547</v>
      </c>
      <c r="Q95" s="38">
        <f t="shared" si="49"/>
        <v>48.364970387373141</v>
      </c>
      <c r="R95" s="38">
        <f t="shared" si="49"/>
        <v>46.829574502059778</v>
      </c>
      <c r="S95" s="38">
        <f t="shared" si="49"/>
        <v>45.294178616746336</v>
      </c>
      <c r="T95" s="38">
        <f t="shared" si="49"/>
        <v>43.758782731432852</v>
      </c>
      <c r="U95" s="38">
        <f t="shared" si="49"/>
        <v>42.223386846119396</v>
      </c>
      <c r="V95" s="38">
        <f t="shared" si="49"/>
        <v>38.384897132835818</v>
      </c>
      <c r="W95" s="38">
        <f t="shared" si="49"/>
        <v>34.546407419552239</v>
      </c>
      <c r="X95" s="38">
        <f>IF(X94=$C$19,X$37,X$66*X$33)</f>
        <v>30.707917706268617</v>
      </c>
      <c r="Y95" s="38">
        <f t="shared" ref="Y95:AE95" si="50">IF(Y94=$C$19,Y$37,Y$66*Y$33)</f>
        <v>26.869427992985084</v>
      </c>
      <c r="Z95" s="38">
        <f t="shared" si="50"/>
        <v>23.030938279701509</v>
      </c>
      <c r="AA95" s="38">
        <f t="shared" si="50"/>
        <v>18.424750623761234</v>
      </c>
      <c r="AB95" s="38">
        <f t="shared" si="50"/>
        <v>13.818562967820913</v>
      </c>
      <c r="AC95" s="38">
        <f t="shared" si="50"/>
        <v>9.2123753118806384</v>
      </c>
      <c r="AD95" s="38">
        <f t="shared" si="50"/>
        <v>4.6061876559403192</v>
      </c>
      <c r="AE95" s="38">
        <f t="shared" si="50"/>
        <v>0</v>
      </c>
    </row>
    <row r="96" spans="2:31" x14ac:dyDescent="0.35">
      <c r="B96" s="104" t="s">
        <v>84</v>
      </c>
      <c r="C96" s="20" t="s">
        <v>202</v>
      </c>
      <c r="D96" s="27"/>
      <c r="E96" s="27" t="s">
        <v>203</v>
      </c>
      <c r="F96" s="23" t="s">
        <v>204</v>
      </c>
      <c r="G96" s="23" t="s">
        <v>131</v>
      </c>
      <c r="H96" s="38">
        <f t="shared" ref="H96:AE96" si="51">H34</f>
        <v>-0.45214621920686532</v>
      </c>
      <c r="I96" s="38">
        <f t="shared" si="51"/>
        <v>-0.24102928497626847</v>
      </c>
      <c r="J96" s="38">
        <f t="shared" si="51"/>
        <v>0</v>
      </c>
      <c r="K96" s="38">
        <f t="shared" si="51"/>
        <v>0</v>
      </c>
      <c r="L96" s="38">
        <f t="shared" si="51"/>
        <v>0</v>
      </c>
      <c r="M96" s="38">
        <f t="shared" si="51"/>
        <v>0</v>
      </c>
      <c r="N96" s="38">
        <f t="shared" si="51"/>
        <v>0</v>
      </c>
      <c r="O96" s="38">
        <f t="shared" si="51"/>
        <v>0</v>
      </c>
      <c r="P96" s="38">
        <f t="shared" si="51"/>
        <v>0</v>
      </c>
      <c r="Q96" s="38">
        <f t="shared" si="51"/>
        <v>0</v>
      </c>
      <c r="R96" s="38">
        <f t="shared" si="51"/>
        <v>0</v>
      </c>
      <c r="S96" s="38">
        <f t="shared" si="51"/>
        <v>0</v>
      </c>
      <c r="T96" s="38">
        <f t="shared" si="51"/>
        <v>0</v>
      </c>
      <c r="U96" s="38">
        <f t="shared" si="51"/>
        <v>0</v>
      </c>
      <c r="V96" s="38">
        <f t="shared" si="51"/>
        <v>0</v>
      </c>
      <c r="W96" s="38">
        <f t="shared" si="51"/>
        <v>0</v>
      </c>
      <c r="X96" s="38">
        <f t="shared" si="51"/>
        <v>0</v>
      </c>
      <c r="Y96" s="38">
        <f t="shared" si="51"/>
        <v>0</v>
      </c>
      <c r="Z96" s="38">
        <f t="shared" si="51"/>
        <v>0</v>
      </c>
      <c r="AA96" s="38">
        <f t="shared" si="51"/>
        <v>0</v>
      </c>
      <c r="AB96" s="38">
        <f t="shared" si="51"/>
        <v>0</v>
      </c>
      <c r="AC96" s="38">
        <f t="shared" si="51"/>
        <v>0</v>
      </c>
      <c r="AD96" s="38">
        <f t="shared" si="51"/>
        <v>0</v>
      </c>
      <c r="AE96" s="38">
        <f t="shared" si="51"/>
        <v>0</v>
      </c>
    </row>
    <row r="97" spans="2:31" x14ac:dyDescent="0.35">
      <c r="C97" s="20" t="s">
        <v>205</v>
      </c>
      <c r="D97" s="27"/>
      <c r="E97" s="27" t="s">
        <v>206</v>
      </c>
      <c r="F97" s="23" t="s">
        <v>207</v>
      </c>
      <c r="G97" s="23" t="s">
        <v>208</v>
      </c>
      <c r="H97" s="38">
        <f t="shared" ref="H97:AE97" si="52">H96*H59</f>
        <v>-104.03281697833931</v>
      </c>
      <c r="I97" s="38">
        <f t="shared" si="52"/>
        <v>-60.681899500234039</v>
      </c>
      <c r="J97" s="38">
        <f t="shared" si="52"/>
        <v>0</v>
      </c>
      <c r="K97" s="38">
        <f t="shared" si="52"/>
        <v>0</v>
      </c>
      <c r="L97" s="38">
        <f t="shared" si="52"/>
        <v>0</v>
      </c>
      <c r="M97" s="38">
        <f t="shared" si="52"/>
        <v>0</v>
      </c>
      <c r="N97" s="38">
        <f t="shared" si="52"/>
        <v>0</v>
      </c>
      <c r="O97" s="38">
        <f t="shared" si="52"/>
        <v>0</v>
      </c>
      <c r="P97" s="38">
        <f t="shared" si="52"/>
        <v>0</v>
      </c>
      <c r="Q97" s="38">
        <f t="shared" si="52"/>
        <v>0</v>
      </c>
      <c r="R97" s="38">
        <f t="shared" si="52"/>
        <v>0</v>
      </c>
      <c r="S97" s="38">
        <f t="shared" si="52"/>
        <v>0</v>
      </c>
      <c r="T97" s="38">
        <f t="shared" si="52"/>
        <v>0</v>
      </c>
      <c r="U97" s="38">
        <f t="shared" si="52"/>
        <v>0</v>
      </c>
      <c r="V97" s="38">
        <f t="shared" si="52"/>
        <v>0</v>
      </c>
      <c r="W97" s="38">
        <f t="shared" si="52"/>
        <v>0</v>
      </c>
      <c r="X97" s="38">
        <f t="shared" si="52"/>
        <v>0</v>
      </c>
      <c r="Y97" s="38">
        <f t="shared" si="52"/>
        <v>0</v>
      </c>
      <c r="Z97" s="38">
        <f t="shared" si="52"/>
        <v>0</v>
      </c>
      <c r="AA97" s="38">
        <f t="shared" si="52"/>
        <v>0</v>
      </c>
      <c r="AB97" s="38">
        <f t="shared" si="52"/>
        <v>0</v>
      </c>
      <c r="AC97" s="38">
        <f t="shared" si="52"/>
        <v>0</v>
      </c>
      <c r="AD97" s="38">
        <f t="shared" si="52"/>
        <v>0</v>
      </c>
      <c r="AE97" s="38">
        <f t="shared" si="52"/>
        <v>0</v>
      </c>
    </row>
    <row r="98" spans="2:31" x14ac:dyDescent="0.35">
      <c r="B98" s="104" t="s">
        <v>182</v>
      </c>
      <c r="C98" s="20" t="s">
        <v>183</v>
      </c>
      <c r="D98" s="27"/>
      <c r="E98" s="27"/>
      <c r="F98" s="23" t="s">
        <v>184</v>
      </c>
      <c r="G98" s="23" t="s">
        <v>98</v>
      </c>
      <c r="H98" s="38">
        <f t="shared" ref="H98:AE98" si="53">IF(H94=$C89,MIN(H$15,H$30),IF(H91=$C89,MIN(H$14,H$30),H$30))</f>
        <v>76.129158859470465</v>
      </c>
      <c r="I98" s="38">
        <f t="shared" si="53"/>
        <v>76.129158859470465</v>
      </c>
      <c r="J98" s="38">
        <f t="shared" si="53"/>
        <v>76.129158859470465</v>
      </c>
      <c r="K98" s="38">
        <f t="shared" si="53"/>
        <v>76.129158859470465</v>
      </c>
      <c r="L98" s="38">
        <f t="shared" si="53"/>
        <v>76.129158859470465</v>
      </c>
      <c r="M98" s="38">
        <f t="shared" si="53"/>
        <v>73.091634589552243</v>
      </c>
      <c r="N98" s="38">
        <f t="shared" si="53"/>
        <v>67.904486328358203</v>
      </c>
      <c r="O98" s="38">
        <f t="shared" si="53"/>
        <v>62.717338067164178</v>
      </c>
      <c r="P98" s="38">
        <f t="shared" si="53"/>
        <v>58.001748738805965</v>
      </c>
      <c r="Q98" s="38">
        <f t="shared" si="53"/>
        <v>52.531665117910443</v>
      </c>
      <c r="R98" s="38">
        <f t="shared" si="53"/>
        <v>47.061581497014927</v>
      </c>
      <c r="S98" s="38">
        <f t="shared" si="53"/>
        <v>41.591497876119398</v>
      </c>
      <c r="T98" s="38">
        <f t="shared" si="53"/>
        <v>36.121414255223868</v>
      </c>
      <c r="U98" s="38">
        <f t="shared" si="53"/>
        <v>30.651330634328353</v>
      </c>
      <c r="V98" s="38">
        <f t="shared" si="53"/>
        <v>27.727665250746263</v>
      </c>
      <c r="W98" s="38">
        <f t="shared" si="53"/>
        <v>24.803999867164169</v>
      </c>
      <c r="X98" s="38">
        <f t="shared" si="53"/>
        <v>21.880334483582079</v>
      </c>
      <c r="Y98" s="38">
        <f t="shared" si="53"/>
        <v>18.956669099999985</v>
      </c>
      <c r="Z98" s="38">
        <f t="shared" si="53"/>
        <v>16.033003716417912</v>
      </c>
      <c r="AA98" s="38">
        <f t="shared" si="53"/>
        <v>13.203650119402987</v>
      </c>
      <c r="AB98" s="38">
        <f t="shared" si="53"/>
        <v>10.374296522388057</v>
      </c>
      <c r="AC98" s="38">
        <f t="shared" si="53"/>
        <v>7.5449429253731299</v>
      </c>
      <c r="AD98" s="38">
        <f t="shared" si="53"/>
        <v>4.7155893283582024</v>
      </c>
      <c r="AE98" s="38">
        <f t="shared" si="53"/>
        <v>1.8862357313432851</v>
      </c>
    </row>
    <row r="99" spans="2:31" x14ac:dyDescent="0.35">
      <c r="C99" s="20" t="s">
        <v>185</v>
      </c>
      <c r="D99" s="27"/>
      <c r="E99" s="27"/>
      <c r="F99" s="23" t="s">
        <v>186</v>
      </c>
      <c r="G99" s="23" t="s">
        <v>187</v>
      </c>
      <c r="H99" s="38">
        <f>H98*Data!$F$7</f>
        <v>3.098456765580448</v>
      </c>
      <c r="I99" s="38">
        <f>I98*Data!$F$7</f>
        <v>3.098456765580448</v>
      </c>
      <c r="J99" s="38">
        <f>J98*Data!$F$7</f>
        <v>3.098456765580448</v>
      </c>
      <c r="K99" s="38">
        <f>K98*Data!$F$7</f>
        <v>3.098456765580448</v>
      </c>
      <c r="L99" s="38">
        <f>L98*Data!$F$7</f>
        <v>3.098456765580448</v>
      </c>
      <c r="M99" s="38">
        <f>M98*Data!$F$7</f>
        <v>2.9748295277947765</v>
      </c>
      <c r="N99" s="38">
        <f>N98*Data!$F$7</f>
        <v>2.7637125935641791</v>
      </c>
      <c r="O99" s="38">
        <f>O98*Data!$F$7</f>
        <v>2.5525956593335821</v>
      </c>
      <c r="P99" s="38">
        <f>P98*Data!$F$7</f>
        <v>2.3606711736694028</v>
      </c>
      <c r="Q99" s="38">
        <f>Q98*Data!$F$7</f>
        <v>2.1380387702989552</v>
      </c>
      <c r="R99" s="38">
        <f>R98*Data!$F$7</f>
        <v>1.9154063669285075</v>
      </c>
      <c r="S99" s="38">
        <f>S98*Data!$F$7</f>
        <v>1.6927739635580594</v>
      </c>
      <c r="T99" s="38">
        <f>T98*Data!$F$7</f>
        <v>1.4701415601876116</v>
      </c>
      <c r="U99" s="38">
        <f>U98*Data!$F$7</f>
        <v>1.2475091568171639</v>
      </c>
      <c r="V99" s="38">
        <f>V98*Data!$F$7</f>
        <v>1.1285159757053729</v>
      </c>
      <c r="W99" s="38">
        <f>W98*Data!$F$7</f>
        <v>1.0095227945935816</v>
      </c>
      <c r="X99" s="38">
        <f>X98*Data!$F$7</f>
        <v>0.89052961348179061</v>
      </c>
      <c r="Y99" s="38">
        <f>Y98*Data!$F$7</f>
        <v>0.77153643236999936</v>
      </c>
      <c r="Z99" s="38">
        <f>Z98*Data!$F$7</f>
        <v>0.652543251258209</v>
      </c>
      <c r="AA99" s="38">
        <f>AA98*Data!$F$7</f>
        <v>0.53738855985970158</v>
      </c>
      <c r="AB99" s="38">
        <f>AB98*Data!$F$7</f>
        <v>0.42223386846119393</v>
      </c>
      <c r="AC99" s="38">
        <f>AC98*Data!$F$7</f>
        <v>0.30707917706268639</v>
      </c>
      <c r="AD99" s="38">
        <f>AD98*Data!$F$7</f>
        <v>0.19192448566417883</v>
      </c>
      <c r="AE99" s="38">
        <f>AE98*Data!$F$7</f>
        <v>7.6769794265671709E-2</v>
      </c>
    </row>
    <row r="100" spans="2:31" x14ac:dyDescent="0.35">
      <c r="C100" s="20" t="s">
        <v>188</v>
      </c>
      <c r="D100" s="27"/>
      <c r="E100" s="27" t="s">
        <v>189</v>
      </c>
      <c r="F100" s="23" t="s">
        <v>190</v>
      </c>
      <c r="G100" s="23" t="s">
        <v>134</v>
      </c>
      <c r="H100" s="38">
        <f>H99*H$16</f>
        <v>0</v>
      </c>
      <c r="I100" s="38">
        <f t="shared" ref="I100:W100" si="54">I99*I$16</f>
        <v>0</v>
      </c>
      <c r="J100" s="38">
        <f t="shared" si="54"/>
        <v>0</v>
      </c>
      <c r="K100" s="38">
        <f t="shared" si="54"/>
        <v>0</v>
      </c>
      <c r="L100" s="38">
        <f t="shared" si="54"/>
        <v>0</v>
      </c>
      <c r="M100" s="38">
        <f t="shared" si="54"/>
        <v>0</v>
      </c>
      <c r="N100" s="38">
        <f t="shared" si="54"/>
        <v>0</v>
      </c>
      <c r="O100" s="38">
        <f t="shared" si="54"/>
        <v>0</v>
      </c>
      <c r="P100" s="38">
        <f t="shared" si="54"/>
        <v>0</v>
      </c>
      <c r="Q100" s="38">
        <f t="shared" si="54"/>
        <v>0</v>
      </c>
      <c r="R100" s="38">
        <f t="shared" si="54"/>
        <v>0</v>
      </c>
      <c r="S100" s="38">
        <f t="shared" si="54"/>
        <v>0</v>
      </c>
      <c r="T100" s="38">
        <f t="shared" si="54"/>
        <v>0</v>
      </c>
      <c r="U100" s="38">
        <f t="shared" si="54"/>
        <v>0</v>
      </c>
      <c r="V100" s="38">
        <f t="shared" si="54"/>
        <v>0</v>
      </c>
      <c r="W100" s="38">
        <f t="shared" si="54"/>
        <v>0</v>
      </c>
      <c r="X100" s="38">
        <f>X99*X$16</f>
        <v>0</v>
      </c>
      <c r="Y100" s="38">
        <f t="shared" ref="Y100:AE100" si="55">Y99*Y$16</f>
        <v>0</v>
      </c>
      <c r="Z100" s="38">
        <f t="shared" si="55"/>
        <v>0</v>
      </c>
      <c r="AA100" s="38">
        <f t="shared" si="55"/>
        <v>0</v>
      </c>
      <c r="AB100" s="38">
        <f t="shared" si="55"/>
        <v>0</v>
      </c>
      <c r="AC100" s="38">
        <f t="shared" si="55"/>
        <v>0</v>
      </c>
      <c r="AD100" s="38">
        <f t="shared" si="55"/>
        <v>0</v>
      </c>
      <c r="AE100" s="38">
        <f t="shared" si="55"/>
        <v>0</v>
      </c>
    </row>
    <row r="101" spans="2:31" x14ac:dyDescent="0.35">
      <c r="B101" s="99" t="s">
        <v>192</v>
      </c>
      <c r="C101" s="24" t="s">
        <v>78</v>
      </c>
      <c r="D101" s="105"/>
      <c r="E101" s="105" t="s">
        <v>209</v>
      </c>
      <c r="F101" s="106"/>
      <c r="G101" s="106" t="s">
        <v>134</v>
      </c>
      <c r="H101" s="143">
        <f>H35*Data!$F$7*1000</f>
        <v>592.80715170121573</v>
      </c>
      <c r="I101" s="143">
        <f>I35*Data!$F$7*1000</f>
        <v>549.99892007770882</v>
      </c>
      <c r="J101" s="143">
        <f>J35*Data!$F$7*1000</f>
        <v>507.19068845420168</v>
      </c>
      <c r="K101" s="143">
        <f>K35*Data!$F$7*1000</f>
        <v>464.38245683069465</v>
      </c>
      <c r="L101" s="143">
        <f>L35*Data!$F$7*1000</f>
        <v>464.17175136011952</v>
      </c>
      <c r="M101" s="143">
        <f>M35*Data!$F$7*1000</f>
        <v>463.96104588954421</v>
      </c>
      <c r="N101" s="143">
        <f>N35*Data!$F$7*1000</f>
        <v>463.75034041896919</v>
      </c>
      <c r="O101" s="143">
        <f>O35*Data!$F$7*1000</f>
        <v>463.53963494839383</v>
      </c>
      <c r="P101" s="143">
        <f>P35*Data!$F$7*1000</f>
        <v>463.32892947781846</v>
      </c>
      <c r="Q101" s="143">
        <f>Q35*Data!$F$7*1000</f>
        <v>462.32490078285127</v>
      </c>
      <c r="R101" s="143">
        <f>R35*Data!$F$7*1000</f>
        <v>461.32087208788374</v>
      </c>
      <c r="S101" s="143">
        <f>S35*Data!$F$7*1000</f>
        <v>460.31684339291627</v>
      </c>
      <c r="T101" s="143">
        <f>T35*Data!$F$7*1000</f>
        <v>459.31281469794874</v>
      </c>
      <c r="U101" s="143">
        <f>U35*Data!$F$7*1000</f>
        <v>458.30878600298161</v>
      </c>
      <c r="V101" s="143">
        <f>V35*Data!$F$7*1000</f>
        <v>457.33273309172324</v>
      </c>
      <c r="W101" s="143">
        <f>W35*Data!$F$7*1000</f>
        <v>456.35668018046533</v>
      </c>
      <c r="X101" s="143">
        <f>X35*Data!$F$7*1000</f>
        <v>455.38062726920714</v>
      </c>
      <c r="Y101" s="143">
        <f>Y35*Data!$F$7*1000</f>
        <v>454.40457435794895</v>
      </c>
      <c r="Z101" s="143">
        <f>Z35*Data!$F$7*1000</f>
        <v>453.42852144669075</v>
      </c>
      <c r="AA101" s="143">
        <f>AA35*Data!$F$7*1000</f>
        <v>452.58151083620294</v>
      </c>
      <c r="AB101" s="143">
        <f>AB35*Data!$F$7*1000</f>
        <v>451.73450022571524</v>
      </c>
      <c r="AC101" s="143">
        <f>AC35*Data!$F$7*1000</f>
        <v>450.88748961522754</v>
      </c>
      <c r="AD101" s="143">
        <f>AD35*Data!$F$7*1000</f>
        <v>450.04047900473989</v>
      </c>
      <c r="AE101" s="143">
        <f>AE35*Data!$F$7*1000</f>
        <v>449.19346839425219</v>
      </c>
    </row>
    <row r="102" spans="2:31" x14ac:dyDescent="0.35">
      <c r="C102" s="24" t="s">
        <v>298</v>
      </c>
      <c r="D102" s="105"/>
      <c r="E102" s="105" t="s">
        <v>210</v>
      </c>
      <c r="F102" s="106"/>
      <c r="G102" s="106" t="s">
        <v>134</v>
      </c>
      <c r="H102" s="143">
        <f>H92</f>
        <v>0</v>
      </c>
      <c r="I102" s="143">
        <f t="shared" ref="I102:W102" si="56">I92</f>
        <v>0</v>
      </c>
      <c r="J102" s="143">
        <f t="shared" si="56"/>
        <v>0</v>
      </c>
      <c r="K102" s="143">
        <f t="shared" si="56"/>
        <v>0</v>
      </c>
      <c r="L102" s="143">
        <f t="shared" si="56"/>
        <v>0</v>
      </c>
      <c r="M102" s="143">
        <f t="shared" si="56"/>
        <v>59.237919756961141</v>
      </c>
      <c r="N102" s="143">
        <f t="shared" si="56"/>
        <v>164.40587663152442</v>
      </c>
      <c r="O102" s="143">
        <f t="shared" si="56"/>
        <v>274.51867580423982</v>
      </c>
      <c r="P102" s="143">
        <f t="shared" si="56"/>
        <v>379.59795689792099</v>
      </c>
      <c r="Q102" s="143">
        <f t="shared" si="56"/>
        <v>508.51256750890775</v>
      </c>
      <c r="R102" s="143">
        <f t="shared" si="56"/>
        <v>643.89147381076191</v>
      </c>
      <c r="S102" s="143">
        <f t="shared" si="56"/>
        <v>785.51297865479455</v>
      </c>
      <c r="T102" s="143">
        <f t="shared" si="56"/>
        <v>933.27784653356809</v>
      </c>
      <c r="U102" s="143">
        <f t="shared" si="56"/>
        <v>1087.0488207939406</v>
      </c>
      <c r="V102" s="143">
        <f t="shared" si="56"/>
        <v>1191.3810551702393</v>
      </c>
      <c r="W102" s="143">
        <f t="shared" si="56"/>
        <v>1299.2769536796377</v>
      </c>
      <c r="X102" s="143">
        <f>X92</f>
        <v>1410.7381487281596</v>
      </c>
      <c r="Y102" s="143">
        <f t="shared" ref="Y102:AE102" si="57">Y92</f>
        <v>1525.6792336493372</v>
      </c>
      <c r="Z102" s="143">
        <f t="shared" si="57"/>
        <v>1644.1217980040074</v>
      </c>
      <c r="AA102" s="143">
        <f t="shared" si="57"/>
        <v>1774.4884599107706</v>
      </c>
      <c r="AB102" s="143">
        <f t="shared" si="57"/>
        <v>1908.8608640979764</v>
      </c>
      <c r="AC102" s="143">
        <f t="shared" si="57"/>
        <v>2047.1413106018322</v>
      </c>
      <c r="AD102" s="143">
        <f t="shared" si="57"/>
        <v>2189.3861468570954</v>
      </c>
      <c r="AE102" s="143">
        <f t="shared" si="57"/>
        <v>2335.1933400967937</v>
      </c>
    </row>
    <row r="103" spans="2:31" x14ac:dyDescent="0.35">
      <c r="C103" s="24" t="s">
        <v>280</v>
      </c>
      <c r="D103" s="105"/>
      <c r="E103" s="105" t="s">
        <v>210</v>
      </c>
      <c r="F103" s="106"/>
      <c r="G103" s="106" t="s">
        <v>134</v>
      </c>
      <c r="H103" s="143">
        <f>H95</f>
        <v>0</v>
      </c>
      <c r="I103" s="143">
        <f t="shared" ref="I103:AE103" si="58">I95</f>
        <v>0</v>
      </c>
      <c r="J103" s="143">
        <f t="shared" si="58"/>
        <v>0.84725463871646056</v>
      </c>
      <c r="K103" s="143">
        <f t="shared" si="58"/>
        <v>20.039703205134359</v>
      </c>
      <c r="L103" s="143">
        <f t="shared" si="58"/>
        <v>41.151396628194043</v>
      </c>
      <c r="M103" s="143">
        <f t="shared" si="58"/>
        <v>49.90036627268659</v>
      </c>
      <c r="N103" s="143">
        <f t="shared" si="58"/>
        <v>49.900366272686533</v>
      </c>
      <c r="O103" s="143">
        <f t="shared" si="58"/>
        <v>47.981121416044779</v>
      </c>
      <c r="P103" s="143">
        <f t="shared" si="58"/>
        <v>49.900366272686547</v>
      </c>
      <c r="Q103" s="143">
        <f t="shared" si="58"/>
        <v>48.364970387373141</v>
      </c>
      <c r="R103" s="143">
        <f t="shared" si="58"/>
        <v>46.829574502059778</v>
      </c>
      <c r="S103" s="143">
        <f t="shared" si="58"/>
        <v>45.294178616746336</v>
      </c>
      <c r="T103" s="143">
        <f t="shared" si="58"/>
        <v>43.758782731432852</v>
      </c>
      <c r="U103" s="143">
        <f t="shared" si="58"/>
        <v>42.223386846119396</v>
      </c>
      <c r="V103" s="143">
        <f t="shared" si="58"/>
        <v>38.384897132835818</v>
      </c>
      <c r="W103" s="143">
        <f t="shared" si="58"/>
        <v>34.546407419552239</v>
      </c>
      <c r="X103" s="143">
        <f t="shared" si="58"/>
        <v>30.707917706268617</v>
      </c>
      <c r="Y103" s="143">
        <f t="shared" si="58"/>
        <v>26.869427992985084</v>
      </c>
      <c r="Z103" s="143">
        <f t="shared" si="58"/>
        <v>23.030938279701509</v>
      </c>
      <c r="AA103" s="143">
        <f t="shared" si="58"/>
        <v>18.424750623761234</v>
      </c>
      <c r="AB103" s="143">
        <f t="shared" si="58"/>
        <v>13.818562967820913</v>
      </c>
      <c r="AC103" s="143">
        <f t="shared" si="58"/>
        <v>9.2123753118806384</v>
      </c>
      <c r="AD103" s="143">
        <f t="shared" si="58"/>
        <v>4.6061876559403192</v>
      </c>
      <c r="AE103" s="143">
        <f t="shared" si="58"/>
        <v>0</v>
      </c>
    </row>
    <row r="104" spans="2:31" x14ac:dyDescent="0.35">
      <c r="C104" s="24" t="s">
        <v>84</v>
      </c>
      <c r="D104" s="105"/>
      <c r="E104" s="105"/>
      <c r="F104" s="106"/>
      <c r="G104" s="106" t="s">
        <v>134</v>
      </c>
      <c r="H104" s="143">
        <f>H97</f>
        <v>-104.03281697833931</v>
      </c>
      <c r="I104" s="143">
        <f t="shared" ref="I104:W104" si="59">I97</f>
        <v>-60.681899500234039</v>
      </c>
      <c r="J104" s="143">
        <f t="shared" si="59"/>
        <v>0</v>
      </c>
      <c r="K104" s="143">
        <f t="shared" si="59"/>
        <v>0</v>
      </c>
      <c r="L104" s="143">
        <f t="shared" si="59"/>
        <v>0</v>
      </c>
      <c r="M104" s="143">
        <f t="shared" si="59"/>
        <v>0</v>
      </c>
      <c r="N104" s="143">
        <f t="shared" si="59"/>
        <v>0</v>
      </c>
      <c r="O104" s="143">
        <f t="shared" si="59"/>
        <v>0</v>
      </c>
      <c r="P104" s="143">
        <f t="shared" si="59"/>
        <v>0</v>
      </c>
      <c r="Q104" s="143">
        <f t="shared" si="59"/>
        <v>0</v>
      </c>
      <c r="R104" s="143">
        <f t="shared" si="59"/>
        <v>0</v>
      </c>
      <c r="S104" s="143">
        <f t="shared" si="59"/>
        <v>0</v>
      </c>
      <c r="T104" s="143">
        <f t="shared" si="59"/>
        <v>0</v>
      </c>
      <c r="U104" s="143">
        <f t="shared" si="59"/>
        <v>0</v>
      </c>
      <c r="V104" s="143">
        <f t="shared" si="59"/>
        <v>0</v>
      </c>
      <c r="W104" s="143">
        <f t="shared" si="59"/>
        <v>0</v>
      </c>
      <c r="X104" s="143">
        <f>X97</f>
        <v>0</v>
      </c>
      <c r="Y104" s="143">
        <f t="shared" ref="Y104:AE104" si="60">Y97</f>
        <v>0</v>
      </c>
      <c r="Z104" s="143">
        <f t="shared" si="60"/>
        <v>0</v>
      </c>
      <c r="AA104" s="143">
        <f t="shared" si="60"/>
        <v>0</v>
      </c>
      <c r="AB104" s="143">
        <f t="shared" si="60"/>
        <v>0</v>
      </c>
      <c r="AC104" s="143">
        <f t="shared" si="60"/>
        <v>0</v>
      </c>
      <c r="AD104" s="143">
        <f t="shared" si="60"/>
        <v>0</v>
      </c>
      <c r="AE104" s="143">
        <f t="shared" si="60"/>
        <v>0</v>
      </c>
    </row>
    <row r="105" spans="2:31" ht="15" thickBot="1" x14ac:dyDescent="0.4">
      <c r="C105" s="107" t="s">
        <v>83</v>
      </c>
      <c r="D105" s="108"/>
      <c r="E105" s="108"/>
      <c r="F105" s="109"/>
      <c r="G105" s="109" t="s">
        <v>134</v>
      </c>
      <c r="H105" s="144">
        <f>H100</f>
        <v>0</v>
      </c>
      <c r="I105" s="144">
        <f t="shared" ref="I105:W105" si="61">I100</f>
        <v>0</v>
      </c>
      <c r="J105" s="144">
        <f t="shared" si="61"/>
        <v>0</v>
      </c>
      <c r="K105" s="144">
        <f t="shared" si="61"/>
        <v>0</v>
      </c>
      <c r="L105" s="144">
        <f t="shared" si="61"/>
        <v>0</v>
      </c>
      <c r="M105" s="144">
        <f t="shared" si="61"/>
        <v>0</v>
      </c>
      <c r="N105" s="144">
        <f t="shared" si="61"/>
        <v>0</v>
      </c>
      <c r="O105" s="144">
        <f t="shared" si="61"/>
        <v>0</v>
      </c>
      <c r="P105" s="144">
        <f t="shared" si="61"/>
        <v>0</v>
      </c>
      <c r="Q105" s="144">
        <f t="shared" si="61"/>
        <v>0</v>
      </c>
      <c r="R105" s="144">
        <f t="shared" si="61"/>
        <v>0</v>
      </c>
      <c r="S105" s="144">
        <f t="shared" si="61"/>
        <v>0</v>
      </c>
      <c r="T105" s="144">
        <f t="shared" si="61"/>
        <v>0</v>
      </c>
      <c r="U105" s="144">
        <f t="shared" si="61"/>
        <v>0</v>
      </c>
      <c r="V105" s="144">
        <f t="shared" si="61"/>
        <v>0</v>
      </c>
      <c r="W105" s="144">
        <f t="shared" si="61"/>
        <v>0</v>
      </c>
      <c r="X105" s="144">
        <f>X100</f>
        <v>0</v>
      </c>
      <c r="Y105" s="144">
        <f t="shared" ref="Y105:AE105" si="62">Y100</f>
        <v>0</v>
      </c>
      <c r="Z105" s="144">
        <f t="shared" si="62"/>
        <v>0</v>
      </c>
      <c r="AA105" s="144">
        <f t="shared" si="62"/>
        <v>0</v>
      </c>
      <c r="AB105" s="144">
        <f t="shared" si="62"/>
        <v>0</v>
      </c>
      <c r="AC105" s="144">
        <f t="shared" si="62"/>
        <v>0</v>
      </c>
      <c r="AD105" s="144">
        <f t="shared" si="62"/>
        <v>0</v>
      </c>
      <c r="AE105" s="144">
        <f t="shared" si="62"/>
        <v>0</v>
      </c>
    </row>
    <row r="106" spans="2:31" ht="15" thickTop="1" x14ac:dyDescent="0.35">
      <c r="C106" s="110" t="s">
        <v>88</v>
      </c>
      <c r="D106" s="105"/>
      <c r="E106" s="27"/>
      <c r="F106" s="23" t="s">
        <v>195</v>
      </c>
      <c r="G106" s="106" t="s">
        <v>134</v>
      </c>
      <c r="H106" s="143">
        <f>SUM(H101:H105)</f>
        <v>488.7743347228764</v>
      </c>
      <c r="I106" s="143">
        <f t="shared" ref="I106:AE106" si="63">SUM(I101:I105)</f>
        <v>489.31702057747475</v>
      </c>
      <c r="J106" s="143">
        <f t="shared" si="63"/>
        <v>508.03794309291811</v>
      </c>
      <c r="K106" s="143">
        <f t="shared" si="63"/>
        <v>484.42216003582899</v>
      </c>
      <c r="L106" s="143">
        <f t="shared" si="63"/>
        <v>505.32314798831356</v>
      </c>
      <c r="M106" s="143">
        <f t="shared" si="63"/>
        <v>573.09933191919197</v>
      </c>
      <c r="N106" s="143">
        <f t="shared" si="63"/>
        <v>678.05658332318012</v>
      </c>
      <c r="O106" s="143">
        <f t="shared" si="63"/>
        <v>786.03943216867833</v>
      </c>
      <c r="P106" s="143">
        <f t="shared" si="63"/>
        <v>892.82725264842611</v>
      </c>
      <c r="Q106" s="143">
        <f t="shared" si="63"/>
        <v>1019.2024386791321</v>
      </c>
      <c r="R106" s="143">
        <f t="shared" si="63"/>
        <v>1152.0419204007055</v>
      </c>
      <c r="S106" s="143">
        <f t="shared" si="63"/>
        <v>1291.1240006644573</v>
      </c>
      <c r="T106" s="143">
        <f t="shared" si="63"/>
        <v>1436.3494439629496</v>
      </c>
      <c r="U106" s="143">
        <f t="shared" si="63"/>
        <v>1587.5809936430417</v>
      </c>
      <c r="V106" s="143">
        <f t="shared" si="63"/>
        <v>1687.0986853947984</v>
      </c>
      <c r="W106" s="143">
        <f t="shared" si="63"/>
        <v>1790.1800412796554</v>
      </c>
      <c r="X106" s="143">
        <f t="shared" si="63"/>
        <v>1896.8266937036353</v>
      </c>
      <c r="Y106" s="143">
        <f t="shared" si="63"/>
        <v>2006.9532360002713</v>
      </c>
      <c r="Z106" s="143">
        <f t="shared" si="63"/>
        <v>2120.5812577303996</v>
      </c>
      <c r="AA106" s="143">
        <f t="shared" si="63"/>
        <v>2245.4947213707346</v>
      </c>
      <c r="AB106" s="143">
        <f t="shared" si="63"/>
        <v>2374.4139272915127</v>
      </c>
      <c r="AC106" s="143">
        <f t="shared" si="63"/>
        <v>2507.2411755289404</v>
      </c>
      <c r="AD106" s="143">
        <f t="shared" si="63"/>
        <v>2644.0328135177756</v>
      </c>
      <c r="AE106" s="143">
        <f t="shared" si="63"/>
        <v>2784.3868084910459</v>
      </c>
    </row>
    <row r="108" spans="2:31" x14ac:dyDescent="0.35">
      <c r="B108" s="104"/>
      <c r="C108" s="20"/>
      <c r="D108" s="27"/>
      <c r="E108" s="27"/>
      <c r="F108" s="23"/>
      <c r="G108" s="23"/>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row>
    <row r="109" spans="2:31" ht="15.65" customHeight="1" x14ac:dyDescent="0.35">
      <c r="C109" s="24" t="s">
        <v>72</v>
      </c>
      <c r="D109" s="27"/>
      <c r="E109" s="27"/>
      <c r="F109" s="23"/>
      <c r="G109" s="23"/>
    </row>
    <row r="110" spans="2:31" ht="15.65" customHeight="1" x14ac:dyDescent="0.35">
      <c r="C110" s="48" t="s">
        <v>110</v>
      </c>
      <c r="D110" s="93" t="s">
        <v>111</v>
      </c>
      <c r="E110" s="93" t="s">
        <v>75</v>
      </c>
      <c r="F110" s="93" t="s">
        <v>93</v>
      </c>
      <c r="G110" s="40" t="s">
        <v>94</v>
      </c>
      <c r="H110" s="136">
        <v>2027</v>
      </c>
      <c r="I110" s="137">
        <v>2028</v>
      </c>
      <c r="J110" s="137">
        <v>2029</v>
      </c>
      <c r="K110" s="137">
        <v>2030</v>
      </c>
      <c r="L110" s="137">
        <v>2031</v>
      </c>
      <c r="M110" s="137">
        <v>2032</v>
      </c>
      <c r="N110" s="137">
        <v>2033</v>
      </c>
      <c r="O110" s="137">
        <v>2034</v>
      </c>
      <c r="P110" s="137">
        <v>2035</v>
      </c>
      <c r="Q110" s="136">
        <v>2036</v>
      </c>
      <c r="R110" s="136">
        <v>2037</v>
      </c>
      <c r="S110" s="137">
        <v>2038</v>
      </c>
      <c r="T110" s="137">
        <v>2039</v>
      </c>
      <c r="U110" s="137">
        <v>2040</v>
      </c>
      <c r="V110" s="137">
        <v>2041</v>
      </c>
      <c r="W110" s="137">
        <v>2042</v>
      </c>
      <c r="X110" s="137">
        <v>2043</v>
      </c>
      <c r="Y110" s="137">
        <v>2044</v>
      </c>
      <c r="Z110" s="137">
        <v>2045</v>
      </c>
      <c r="AA110" s="136">
        <v>2046</v>
      </c>
      <c r="AB110" s="136">
        <v>2047</v>
      </c>
      <c r="AC110" s="137">
        <v>2048</v>
      </c>
      <c r="AD110" s="137">
        <v>2049</v>
      </c>
      <c r="AE110" s="137">
        <v>2050</v>
      </c>
    </row>
    <row r="111" spans="2:31" ht="15.65" customHeight="1" x14ac:dyDescent="0.35">
      <c r="C111" s="20" t="s">
        <v>211</v>
      </c>
      <c r="D111" s="27"/>
      <c r="E111" s="27" t="s">
        <v>212</v>
      </c>
      <c r="F111" s="23" t="s">
        <v>213</v>
      </c>
      <c r="G111" s="23" t="s">
        <v>120</v>
      </c>
      <c r="H111" s="38">
        <f>H$51-H$27</f>
        <v>27.135303904964061</v>
      </c>
      <c r="I111" s="38">
        <f t="shared" ref="I111:AE111" si="64">I$51-I$27</f>
        <v>27.527779633119465</v>
      </c>
      <c r="J111" s="38">
        <f t="shared" si="64"/>
        <v>27.920255361274876</v>
      </c>
      <c r="K111" s="38">
        <f t="shared" si="64"/>
        <v>28.312731089430116</v>
      </c>
      <c r="L111" s="38">
        <f t="shared" si="64"/>
        <v>28.312731089430116</v>
      </c>
      <c r="M111" s="38">
        <f t="shared" si="64"/>
        <v>28.312731089430116</v>
      </c>
      <c r="N111" s="38">
        <f t="shared" si="64"/>
        <v>28.312731089430116</v>
      </c>
      <c r="O111" s="38">
        <f t="shared" si="64"/>
        <v>28.312731089430116</v>
      </c>
      <c r="P111" s="38">
        <f t="shared" si="64"/>
        <v>28.312731089430116</v>
      </c>
      <c r="Q111" s="38">
        <f t="shared" si="64"/>
        <v>28.312731089430116</v>
      </c>
      <c r="R111" s="38">
        <f t="shared" si="64"/>
        <v>28.312731089430116</v>
      </c>
      <c r="S111" s="38">
        <f t="shared" si="64"/>
        <v>28.312731089430116</v>
      </c>
      <c r="T111" s="38">
        <f t="shared" si="64"/>
        <v>28.312731089430116</v>
      </c>
      <c r="U111" s="38">
        <f t="shared" si="64"/>
        <v>28.312731089430116</v>
      </c>
      <c r="V111" s="38">
        <f t="shared" si="64"/>
        <v>28.312731089430116</v>
      </c>
      <c r="W111" s="38">
        <f t="shared" si="64"/>
        <v>28.312731089430116</v>
      </c>
      <c r="X111" s="38">
        <f t="shared" si="64"/>
        <v>28.312731089430116</v>
      </c>
      <c r="Y111" s="38">
        <f t="shared" si="64"/>
        <v>28.312731089430116</v>
      </c>
      <c r="Z111" s="38">
        <f t="shared" si="64"/>
        <v>28.312731089430116</v>
      </c>
      <c r="AA111" s="38">
        <f t="shared" si="64"/>
        <v>28.312731089430116</v>
      </c>
      <c r="AB111" s="38">
        <f t="shared" si="64"/>
        <v>28.312731089430116</v>
      </c>
      <c r="AC111" s="38">
        <f t="shared" si="64"/>
        <v>28.312731089430116</v>
      </c>
      <c r="AD111" s="38">
        <f t="shared" si="64"/>
        <v>28.312731089430116</v>
      </c>
      <c r="AE111" s="38">
        <f t="shared" si="64"/>
        <v>28.312731089430116</v>
      </c>
    </row>
    <row r="112" spans="2:31" ht="15.65" customHeight="1" x14ac:dyDescent="0.35">
      <c r="C112" s="20" t="s">
        <v>214</v>
      </c>
      <c r="D112" s="27"/>
      <c r="E112" s="27"/>
      <c r="F112" s="23" t="s">
        <v>215</v>
      </c>
      <c r="G112" s="23" t="s">
        <v>169</v>
      </c>
      <c r="H112" s="38">
        <f>H$24-H$47</f>
        <v>8.4880607910447783E-2</v>
      </c>
      <c r="I112" s="38">
        <f t="shared" ref="I112:AE112" si="65">I$24-I$47</f>
        <v>8.4880607910447783E-2</v>
      </c>
      <c r="J112" s="38">
        <f t="shared" si="65"/>
        <v>8.4880607910447783E-2</v>
      </c>
      <c r="K112" s="38">
        <f t="shared" si="65"/>
        <v>8.4880607910447783E-2</v>
      </c>
      <c r="L112" s="38">
        <f t="shared" si="65"/>
        <v>8.4880607910447783E-2</v>
      </c>
      <c r="M112" s="38">
        <f t="shared" si="65"/>
        <v>8.4880607910447783E-2</v>
      </c>
      <c r="N112" s="38">
        <f t="shared" si="65"/>
        <v>8.4880607910447783E-2</v>
      </c>
      <c r="O112" s="38">
        <f t="shared" si="65"/>
        <v>8.4880607910447783E-2</v>
      </c>
      <c r="P112" s="38">
        <f t="shared" si="65"/>
        <v>8.4880607910447783E-2</v>
      </c>
      <c r="Q112" s="38">
        <f t="shared" si="65"/>
        <v>8.4880607910447783E-2</v>
      </c>
      <c r="R112" s="38">
        <f t="shared" si="65"/>
        <v>8.4880607910447783E-2</v>
      </c>
      <c r="S112" s="38">
        <f t="shared" si="65"/>
        <v>8.4880607910447783E-2</v>
      </c>
      <c r="T112" s="38">
        <f t="shared" si="65"/>
        <v>8.4880607910447783E-2</v>
      </c>
      <c r="U112" s="38">
        <f t="shared" si="65"/>
        <v>8.4880607910447783E-2</v>
      </c>
      <c r="V112" s="38">
        <f t="shared" si="65"/>
        <v>8.4880607910447783E-2</v>
      </c>
      <c r="W112" s="38">
        <f t="shared" si="65"/>
        <v>8.4880607910447783E-2</v>
      </c>
      <c r="X112" s="38">
        <f t="shared" si="65"/>
        <v>8.4880607910447783E-2</v>
      </c>
      <c r="Y112" s="38">
        <f t="shared" si="65"/>
        <v>8.4880607910447783E-2</v>
      </c>
      <c r="Z112" s="38">
        <f t="shared" si="65"/>
        <v>8.4880607910447783E-2</v>
      </c>
      <c r="AA112" s="38">
        <f t="shared" si="65"/>
        <v>8.4880607910447783E-2</v>
      </c>
      <c r="AB112" s="38">
        <f t="shared" si="65"/>
        <v>8.4880607910447783E-2</v>
      </c>
      <c r="AC112" s="38">
        <f t="shared" si="65"/>
        <v>8.4880607910447783E-2</v>
      </c>
      <c r="AD112" s="38">
        <f t="shared" si="65"/>
        <v>8.4880607910447783E-2</v>
      </c>
      <c r="AE112" s="38">
        <f t="shared" si="65"/>
        <v>8.4880607910447783E-2</v>
      </c>
    </row>
    <row r="113" spans="2:31" ht="15.65" customHeight="1" x14ac:dyDescent="0.35">
      <c r="C113" s="20" t="s">
        <v>281</v>
      </c>
      <c r="D113" s="27"/>
      <c r="E113" s="27" t="s">
        <v>171</v>
      </c>
      <c r="F113" s="23" t="s">
        <v>172</v>
      </c>
      <c r="G113" s="23" t="s">
        <v>155</v>
      </c>
      <c r="H113" s="38">
        <f>H111/H112</f>
        <v>319.68790720246517</v>
      </c>
      <c r="I113" s="38">
        <f t="shared" ref="I113:AE113" si="66">I111/I112</f>
        <v>324.3117634379139</v>
      </c>
      <c r="J113" s="38">
        <f t="shared" si="66"/>
        <v>328.93561967336274</v>
      </c>
      <c r="K113" s="38">
        <f t="shared" si="66"/>
        <v>333.55947590880953</v>
      </c>
      <c r="L113" s="38">
        <f t="shared" si="66"/>
        <v>333.55947590880953</v>
      </c>
      <c r="M113" s="38">
        <f t="shared" si="66"/>
        <v>333.55947590880953</v>
      </c>
      <c r="N113" s="38">
        <f t="shared" si="66"/>
        <v>333.55947590880953</v>
      </c>
      <c r="O113" s="38">
        <f t="shared" si="66"/>
        <v>333.55947590880953</v>
      </c>
      <c r="P113" s="38">
        <f t="shared" si="66"/>
        <v>333.55947590880953</v>
      </c>
      <c r="Q113" s="38">
        <f t="shared" si="66"/>
        <v>333.55947590880953</v>
      </c>
      <c r="R113" s="38">
        <f t="shared" si="66"/>
        <v>333.55947590880953</v>
      </c>
      <c r="S113" s="38">
        <f t="shared" si="66"/>
        <v>333.55947590880953</v>
      </c>
      <c r="T113" s="38">
        <f t="shared" si="66"/>
        <v>333.55947590880953</v>
      </c>
      <c r="U113" s="38">
        <f t="shared" si="66"/>
        <v>333.55947590880953</v>
      </c>
      <c r="V113" s="38">
        <f t="shared" si="66"/>
        <v>333.55947590880953</v>
      </c>
      <c r="W113" s="38">
        <f t="shared" si="66"/>
        <v>333.55947590880953</v>
      </c>
      <c r="X113" s="38">
        <f t="shared" si="66"/>
        <v>333.55947590880953</v>
      </c>
      <c r="Y113" s="38">
        <f t="shared" si="66"/>
        <v>333.55947590880953</v>
      </c>
      <c r="Z113" s="38">
        <f t="shared" si="66"/>
        <v>333.55947590880953</v>
      </c>
      <c r="AA113" s="38">
        <f t="shared" si="66"/>
        <v>333.55947590880953</v>
      </c>
      <c r="AB113" s="38">
        <f t="shared" si="66"/>
        <v>333.55947590880953</v>
      </c>
      <c r="AC113" s="38">
        <f t="shared" si="66"/>
        <v>333.55947590880953</v>
      </c>
      <c r="AD113" s="38">
        <f t="shared" si="66"/>
        <v>333.55947590880953</v>
      </c>
      <c r="AE113" s="38">
        <f t="shared" si="66"/>
        <v>333.55947590880953</v>
      </c>
    </row>
    <row r="114" spans="2:31" ht="15.65" customHeight="1" x14ac:dyDescent="0.35">
      <c r="B114" s="104" t="s">
        <v>277</v>
      </c>
      <c r="C114" s="20" t="s">
        <v>282</v>
      </c>
      <c r="D114" s="27"/>
      <c r="E114" s="27" t="s">
        <v>174</v>
      </c>
      <c r="F114" s="23" t="s">
        <v>153</v>
      </c>
      <c r="G114" s="23" t="s">
        <v>155</v>
      </c>
      <c r="H114" s="38">
        <f t="shared" ref="H114:AE114" si="67">H113-H$16</f>
        <v>319.68790720246517</v>
      </c>
      <c r="I114" s="38">
        <f t="shared" si="67"/>
        <v>324.3117634379139</v>
      </c>
      <c r="J114" s="38">
        <f t="shared" si="67"/>
        <v>328.93561967336274</v>
      </c>
      <c r="K114" s="38">
        <f t="shared" si="67"/>
        <v>333.55947590880953</v>
      </c>
      <c r="L114" s="38">
        <f t="shared" si="67"/>
        <v>333.55947590880953</v>
      </c>
      <c r="M114" s="38">
        <f t="shared" si="67"/>
        <v>333.55947590880953</v>
      </c>
      <c r="N114" s="38">
        <f t="shared" si="67"/>
        <v>333.55947590880953</v>
      </c>
      <c r="O114" s="38">
        <f t="shared" si="67"/>
        <v>333.55947590880953</v>
      </c>
      <c r="P114" s="38">
        <f t="shared" si="67"/>
        <v>333.55947590880953</v>
      </c>
      <c r="Q114" s="38">
        <f t="shared" si="67"/>
        <v>333.55947590880953</v>
      </c>
      <c r="R114" s="38">
        <f t="shared" si="67"/>
        <v>333.55947590880953</v>
      </c>
      <c r="S114" s="38">
        <f t="shared" si="67"/>
        <v>333.55947590880953</v>
      </c>
      <c r="T114" s="38">
        <f t="shared" si="67"/>
        <v>333.55947590880953</v>
      </c>
      <c r="U114" s="38">
        <f t="shared" si="67"/>
        <v>333.55947590880953</v>
      </c>
      <c r="V114" s="38">
        <f t="shared" si="67"/>
        <v>333.55947590880953</v>
      </c>
      <c r="W114" s="38">
        <f t="shared" si="67"/>
        <v>333.55947590880953</v>
      </c>
      <c r="X114" s="38">
        <f t="shared" si="67"/>
        <v>333.55947590880953</v>
      </c>
      <c r="Y114" s="38">
        <f t="shared" si="67"/>
        <v>333.55947590880953</v>
      </c>
      <c r="Z114" s="38">
        <f t="shared" si="67"/>
        <v>333.55947590880953</v>
      </c>
      <c r="AA114" s="38">
        <f t="shared" si="67"/>
        <v>333.55947590880953</v>
      </c>
      <c r="AB114" s="38">
        <f t="shared" si="67"/>
        <v>333.55947590880953</v>
      </c>
      <c r="AC114" s="38">
        <f t="shared" si="67"/>
        <v>333.55947590880953</v>
      </c>
      <c r="AD114" s="38">
        <f t="shared" si="67"/>
        <v>333.55947590880953</v>
      </c>
      <c r="AE114" s="38">
        <f t="shared" si="67"/>
        <v>333.55947590880953</v>
      </c>
    </row>
    <row r="115" spans="2:31" ht="15" customHeight="1" x14ac:dyDescent="0.35">
      <c r="C115" s="20" t="s">
        <v>175</v>
      </c>
      <c r="D115" s="27"/>
      <c r="E115" s="27" t="s">
        <v>176</v>
      </c>
      <c r="F115" s="23" t="s">
        <v>177</v>
      </c>
      <c r="G115" s="23" t="s">
        <v>159</v>
      </c>
      <c r="H115" s="38">
        <f t="shared" ref="H115:AE115" si="68">MIN(H114,H18)</f>
        <v>319.68790720246517</v>
      </c>
      <c r="I115" s="38">
        <f t="shared" si="68"/>
        <v>324.3117634379139</v>
      </c>
      <c r="J115" s="38">
        <f t="shared" si="68"/>
        <v>328.93561967336274</v>
      </c>
      <c r="K115" s="38">
        <f t="shared" si="68"/>
        <v>333.55947590880953</v>
      </c>
      <c r="L115" s="38">
        <f t="shared" si="68"/>
        <v>333.55947590880953</v>
      </c>
      <c r="M115" s="38">
        <f t="shared" si="68"/>
        <v>333.55947590880953</v>
      </c>
      <c r="N115" s="38">
        <f t="shared" si="68"/>
        <v>333.55947590880953</v>
      </c>
      <c r="O115" s="38">
        <f t="shared" si="68"/>
        <v>333.55947590880953</v>
      </c>
      <c r="P115" s="38">
        <f t="shared" si="68"/>
        <v>333.55947590880953</v>
      </c>
      <c r="Q115" s="38">
        <f t="shared" si="68"/>
        <v>333.55947590880953</v>
      </c>
      <c r="R115" s="38">
        <f t="shared" si="68"/>
        <v>333.55947590880953</v>
      </c>
      <c r="S115" s="38">
        <f t="shared" si="68"/>
        <v>333.55947590880953</v>
      </c>
      <c r="T115" s="38">
        <f t="shared" si="68"/>
        <v>333.55947590880953</v>
      </c>
      <c r="U115" s="38">
        <f t="shared" si="68"/>
        <v>333.55947590880953</v>
      </c>
      <c r="V115" s="38">
        <f t="shared" si="68"/>
        <v>333.55947590880953</v>
      </c>
      <c r="W115" s="38">
        <f t="shared" si="68"/>
        <v>333.55947590880953</v>
      </c>
      <c r="X115" s="38">
        <f t="shared" si="68"/>
        <v>333.55947590880953</v>
      </c>
      <c r="Y115" s="38">
        <f t="shared" si="68"/>
        <v>333.55947590880953</v>
      </c>
      <c r="Z115" s="38">
        <f t="shared" si="68"/>
        <v>333.55947590880953</v>
      </c>
      <c r="AA115" s="38">
        <f t="shared" si="68"/>
        <v>333.55947590880953</v>
      </c>
      <c r="AB115" s="38">
        <f t="shared" si="68"/>
        <v>333.55947590880953</v>
      </c>
      <c r="AC115" s="38">
        <f t="shared" si="68"/>
        <v>333.55947590880953</v>
      </c>
      <c r="AD115" s="38">
        <f t="shared" si="68"/>
        <v>333.55947590880953</v>
      </c>
      <c r="AE115" s="38">
        <f t="shared" si="68"/>
        <v>333.55947590880953</v>
      </c>
    </row>
    <row r="116" spans="2:31" ht="15.65" customHeight="1" x14ac:dyDescent="0.35">
      <c r="C116" s="20" t="s">
        <v>178</v>
      </c>
      <c r="D116" s="27"/>
      <c r="E116" s="27" t="s">
        <v>179</v>
      </c>
      <c r="F116" s="23" t="s">
        <v>177</v>
      </c>
      <c r="G116" s="23"/>
      <c r="H116" s="38" t="str">
        <f t="shared" ref="H116:AE116" si="69">IF(H115=H$18,$C$18,$C$114)</f>
        <v>ZNZ abatement cost minus levy savings</v>
      </c>
      <c r="I116" s="38" t="str">
        <f t="shared" si="69"/>
        <v>ZNZ abatement cost minus levy savings</v>
      </c>
      <c r="J116" s="38" t="str">
        <f t="shared" si="69"/>
        <v>ZNZ abatement cost minus levy savings</v>
      </c>
      <c r="K116" s="38" t="str">
        <f t="shared" si="69"/>
        <v>ZNZ abatement cost minus levy savings</v>
      </c>
      <c r="L116" s="38" t="str">
        <f t="shared" si="69"/>
        <v>ZNZ abatement cost minus levy savings</v>
      </c>
      <c r="M116" s="38" t="str">
        <f t="shared" si="69"/>
        <v>ZNZ abatement cost minus levy savings</v>
      </c>
      <c r="N116" s="38" t="str">
        <f t="shared" si="69"/>
        <v>ZNZ abatement cost minus levy savings</v>
      </c>
      <c r="O116" s="38" t="str">
        <f t="shared" si="69"/>
        <v>ZNZ abatement cost minus levy savings</v>
      </c>
      <c r="P116" s="38" t="str">
        <f t="shared" si="69"/>
        <v>ZNZ abatement cost minus levy savings</v>
      </c>
      <c r="Q116" s="38" t="str">
        <f t="shared" si="69"/>
        <v>ZNZ abatement cost minus levy savings</v>
      </c>
      <c r="R116" s="38" t="str">
        <f t="shared" si="69"/>
        <v>ZNZ abatement cost minus levy savings</v>
      </c>
      <c r="S116" s="38" t="str">
        <f t="shared" si="69"/>
        <v>ZNZ abatement cost minus levy savings</v>
      </c>
      <c r="T116" s="38" t="str">
        <f t="shared" si="69"/>
        <v>ZNZ abatement cost minus levy savings</v>
      </c>
      <c r="U116" s="38" t="str">
        <f t="shared" si="69"/>
        <v>ZNZ abatement cost minus levy savings</v>
      </c>
      <c r="V116" s="38" t="str">
        <f t="shared" si="69"/>
        <v>ZNZ abatement cost minus levy savings</v>
      </c>
      <c r="W116" s="38" t="str">
        <f t="shared" si="69"/>
        <v>ZNZ abatement cost minus levy savings</v>
      </c>
      <c r="X116" s="38" t="str">
        <f t="shared" si="69"/>
        <v>ZNZ abatement cost minus levy savings</v>
      </c>
      <c r="Y116" s="38" t="str">
        <f t="shared" si="69"/>
        <v>ZNZ abatement cost minus levy savings</v>
      </c>
      <c r="Z116" s="38" t="str">
        <f t="shared" si="69"/>
        <v>ZNZ abatement cost minus levy savings</v>
      </c>
      <c r="AA116" s="38" t="str">
        <f t="shared" si="69"/>
        <v>ZNZ abatement cost minus levy savings</v>
      </c>
      <c r="AB116" s="38" t="str">
        <f t="shared" si="69"/>
        <v>ZNZ abatement cost minus levy savings</v>
      </c>
      <c r="AC116" s="38" t="str">
        <f t="shared" si="69"/>
        <v>ZNZ abatement cost minus levy savings</v>
      </c>
      <c r="AD116" s="38" t="str">
        <f t="shared" si="69"/>
        <v>ZNZ abatement cost minus levy savings</v>
      </c>
      <c r="AE116" s="38" t="str">
        <f t="shared" si="69"/>
        <v>ZNZ abatement cost minus levy savings</v>
      </c>
    </row>
    <row r="117" spans="2:31" x14ac:dyDescent="0.35">
      <c r="C117" s="20" t="s">
        <v>180</v>
      </c>
      <c r="D117" s="27"/>
      <c r="E117" s="27" t="s">
        <v>181</v>
      </c>
      <c r="F117" s="23" t="s">
        <v>177</v>
      </c>
      <c r="G117" s="23" t="s">
        <v>134</v>
      </c>
      <c r="H117" s="38">
        <f t="shared" ref="H117:AE117" si="70">IF(H116=$C18,H$28,H$113*H$25)</f>
        <v>36.81356229773499</v>
      </c>
      <c r="I117" s="38">
        <f t="shared" si="70"/>
        <v>80.916378910464175</v>
      </c>
      <c r="J117" s="38">
        <f t="shared" si="70"/>
        <v>107.32235935814528</v>
      </c>
      <c r="K117" s="38">
        <f t="shared" si="70"/>
        <v>153.64375404530779</v>
      </c>
      <c r="L117" s="38">
        <f t="shared" si="70"/>
        <v>217.66198489751915</v>
      </c>
      <c r="M117" s="38">
        <f t="shared" si="70"/>
        <v>288.08203883495162</v>
      </c>
      <c r="N117" s="38">
        <f t="shared" si="70"/>
        <v>358.50209277238434</v>
      </c>
      <c r="O117" s="38">
        <f t="shared" si="70"/>
        <v>428.92214670981679</v>
      </c>
      <c r="P117" s="38">
        <f t="shared" si="70"/>
        <v>492.94037756202823</v>
      </c>
      <c r="Q117" s="38">
        <f t="shared" si="70"/>
        <v>567.20152535059356</v>
      </c>
      <c r="R117" s="38">
        <f t="shared" si="70"/>
        <v>641.46267313915871</v>
      </c>
      <c r="S117" s="38">
        <f t="shared" si="70"/>
        <v>715.72382092772398</v>
      </c>
      <c r="T117" s="38">
        <f t="shared" si="70"/>
        <v>789.98496871628925</v>
      </c>
      <c r="U117" s="38">
        <f t="shared" si="70"/>
        <v>864.24611650485451</v>
      </c>
      <c r="V117" s="38">
        <f t="shared" si="70"/>
        <v>903.93741963322543</v>
      </c>
      <c r="W117" s="38">
        <f t="shared" si="70"/>
        <v>943.6287227615968</v>
      </c>
      <c r="X117" s="38">
        <f t="shared" si="70"/>
        <v>983.32002588996784</v>
      </c>
      <c r="Y117" s="38">
        <f t="shared" si="70"/>
        <v>1023.0113290183389</v>
      </c>
      <c r="Z117" s="38">
        <f t="shared" si="70"/>
        <v>1062.7026321467099</v>
      </c>
      <c r="AA117" s="38">
        <f t="shared" si="70"/>
        <v>1101.1135706580365</v>
      </c>
      <c r="AB117" s="38">
        <f t="shared" si="70"/>
        <v>1139.5245091693635</v>
      </c>
      <c r="AC117" s="38">
        <f t="shared" si="70"/>
        <v>1177.9354476806905</v>
      </c>
      <c r="AD117" s="38">
        <f t="shared" si="70"/>
        <v>1216.3463861920172</v>
      </c>
      <c r="AE117" s="38">
        <f t="shared" si="70"/>
        <v>1254.757324703344</v>
      </c>
    </row>
    <row r="118" spans="2:31" x14ac:dyDescent="0.35">
      <c r="B118" s="104" t="s">
        <v>265</v>
      </c>
      <c r="C118" s="20" t="s">
        <v>175</v>
      </c>
      <c r="D118" s="27"/>
      <c r="E118" s="27" t="s">
        <v>176</v>
      </c>
      <c r="F118" s="23" t="s">
        <v>177</v>
      </c>
      <c r="G118" s="23" t="s">
        <v>159</v>
      </c>
      <c r="H118" s="38">
        <f>MIN(H$19,H115)</f>
        <v>100</v>
      </c>
      <c r="I118" s="38">
        <f t="shared" ref="I118:AE118" si="71">MIN(I$19,I115)</f>
        <v>100</v>
      </c>
      <c r="J118" s="38">
        <f t="shared" si="71"/>
        <v>100</v>
      </c>
      <c r="K118" s="38">
        <f t="shared" si="71"/>
        <v>100</v>
      </c>
      <c r="L118" s="38">
        <f t="shared" si="71"/>
        <v>100</v>
      </c>
      <c r="M118" s="38">
        <f t="shared" si="71"/>
        <v>100</v>
      </c>
      <c r="N118" s="38">
        <f t="shared" si="71"/>
        <v>100</v>
      </c>
      <c r="O118" s="38">
        <f t="shared" si="71"/>
        <v>100</v>
      </c>
      <c r="P118" s="38">
        <f t="shared" si="71"/>
        <v>100</v>
      </c>
      <c r="Q118" s="38">
        <f t="shared" si="71"/>
        <v>100</v>
      </c>
      <c r="R118" s="38">
        <f t="shared" si="71"/>
        <v>100</v>
      </c>
      <c r="S118" s="38">
        <f t="shared" si="71"/>
        <v>100</v>
      </c>
      <c r="T118" s="38">
        <f t="shared" si="71"/>
        <v>100</v>
      </c>
      <c r="U118" s="38">
        <f t="shared" si="71"/>
        <v>100</v>
      </c>
      <c r="V118" s="38">
        <f t="shared" si="71"/>
        <v>100</v>
      </c>
      <c r="W118" s="38">
        <f t="shared" si="71"/>
        <v>100</v>
      </c>
      <c r="X118" s="38">
        <f t="shared" si="71"/>
        <v>100</v>
      </c>
      <c r="Y118" s="38">
        <f t="shared" si="71"/>
        <v>100</v>
      </c>
      <c r="Z118" s="38">
        <f t="shared" si="71"/>
        <v>100</v>
      </c>
      <c r="AA118" s="38">
        <f t="shared" si="71"/>
        <v>100</v>
      </c>
      <c r="AB118" s="38">
        <f t="shared" si="71"/>
        <v>100</v>
      </c>
      <c r="AC118" s="38">
        <f t="shared" si="71"/>
        <v>100</v>
      </c>
      <c r="AD118" s="38">
        <f t="shared" si="71"/>
        <v>100</v>
      </c>
      <c r="AE118" s="38">
        <f t="shared" si="71"/>
        <v>100</v>
      </c>
    </row>
    <row r="119" spans="2:31" x14ac:dyDescent="0.35">
      <c r="C119" s="20" t="s">
        <v>178</v>
      </c>
      <c r="D119" s="27"/>
      <c r="E119" s="27" t="s">
        <v>179</v>
      </c>
      <c r="F119" s="23" t="s">
        <v>177</v>
      </c>
      <c r="G119" s="23"/>
      <c r="H119" s="38" t="str">
        <f t="shared" ref="H119:AE119" si="72">IF(H118=H$19,$C$19,$C$114)</f>
        <v>Lower Remedial Unit Cost</v>
      </c>
      <c r="I119" s="38" t="str">
        <f t="shared" si="72"/>
        <v>Lower Remedial Unit Cost</v>
      </c>
      <c r="J119" s="38" t="str">
        <f t="shared" si="72"/>
        <v>Lower Remedial Unit Cost</v>
      </c>
      <c r="K119" s="38" t="str">
        <f t="shared" si="72"/>
        <v>Lower Remedial Unit Cost</v>
      </c>
      <c r="L119" s="38" t="str">
        <f t="shared" si="72"/>
        <v>Lower Remedial Unit Cost</v>
      </c>
      <c r="M119" s="38" t="str">
        <f t="shared" si="72"/>
        <v>Lower Remedial Unit Cost</v>
      </c>
      <c r="N119" s="38" t="str">
        <f t="shared" si="72"/>
        <v>Lower Remedial Unit Cost</v>
      </c>
      <c r="O119" s="38" t="str">
        <f t="shared" si="72"/>
        <v>Lower Remedial Unit Cost</v>
      </c>
      <c r="P119" s="38" t="str">
        <f t="shared" si="72"/>
        <v>Lower Remedial Unit Cost</v>
      </c>
      <c r="Q119" s="38" t="str">
        <f t="shared" si="72"/>
        <v>Lower Remedial Unit Cost</v>
      </c>
      <c r="R119" s="38" t="str">
        <f t="shared" si="72"/>
        <v>Lower Remedial Unit Cost</v>
      </c>
      <c r="S119" s="38" t="str">
        <f t="shared" si="72"/>
        <v>Lower Remedial Unit Cost</v>
      </c>
      <c r="T119" s="38" t="str">
        <f t="shared" si="72"/>
        <v>Lower Remedial Unit Cost</v>
      </c>
      <c r="U119" s="38" t="str">
        <f t="shared" si="72"/>
        <v>Lower Remedial Unit Cost</v>
      </c>
      <c r="V119" s="38" t="str">
        <f t="shared" si="72"/>
        <v>Lower Remedial Unit Cost</v>
      </c>
      <c r="W119" s="38" t="str">
        <f t="shared" si="72"/>
        <v>Lower Remedial Unit Cost</v>
      </c>
      <c r="X119" s="38" t="str">
        <f t="shared" si="72"/>
        <v>Lower Remedial Unit Cost</v>
      </c>
      <c r="Y119" s="38" t="str">
        <f t="shared" si="72"/>
        <v>Lower Remedial Unit Cost</v>
      </c>
      <c r="Z119" s="38" t="str">
        <f t="shared" si="72"/>
        <v>Lower Remedial Unit Cost</v>
      </c>
      <c r="AA119" s="38" t="str">
        <f t="shared" si="72"/>
        <v>Lower Remedial Unit Cost</v>
      </c>
      <c r="AB119" s="38" t="str">
        <f t="shared" si="72"/>
        <v>Lower Remedial Unit Cost</v>
      </c>
      <c r="AC119" s="38" t="str">
        <f t="shared" si="72"/>
        <v>Lower Remedial Unit Cost</v>
      </c>
      <c r="AD119" s="38" t="str">
        <f t="shared" si="72"/>
        <v>Lower Remedial Unit Cost</v>
      </c>
      <c r="AE119" s="38" t="str">
        <f t="shared" si="72"/>
        <v>Lower Remedial Unit Cost</v>
      </c>
    </row>
    <row r="120" spans="2:31" x14ac:dyDescent="0.35">
      <c r="C120" s="20" t="s">
        <v>268</v>
      </c>
      <c r="D120" s="27"/>
      <c r="E120" s="27" t="s">
        <v>181</v>
      </c>
      <c r="F120" s="23" t="s">
        <v>177</v>
      </c>
      <c r="G120" s="23" t="s">
        <v>134</v>
      </c>
      <c r="H120" s="38">
        <f>IF(H119=$C$19,H$29,H$66*H$26)</f>
        <v>17.273203709776112</v>
      </c>
      <c r="I120" s="38">
        <f t="shared" ref="I120:AE120" si="73">IF(I119=$C$19,I$29,I$66*I$26)</f>
        <v>24.950183136343309</v>
      </c>
      <c r="J120" s="38">
        <f t="shared" si="73"/>
        <v>42.223386846119425</v>
      </c>
      <c r="K120" s="38">
        <f t="shared" si="73"/>
        <v>47.981121416044772</v>
      </c>
      <c r="L120" s="38">
        <f t="shared" si="73"/>
        <v>49.900366272686561</v>
      </c>
      <c r="M120" s="38">
        <f t="shared" si="73"/>
        <v>49.90036627268659</v>
      </c>
      <c r="N120" s="38">
        <f t="shared" si="73"/>
        <v>49.900366272686526</v>
      </c>
      <c r="O120" s="38">
        <f t="shared" si="73"/>
        <v>47.981121416044779</v>
      </c>
      <c r="P120" s="38">
        <f t="shared" si="73"/>
        <v>49.900366272686568</v>
      </c>
      <c r="Q120" s="38">
        <f t="shared" si="73"/>
        <v>48.364970387373148</v>
      </c>
      <c r="R120" s="38">
        <f t="shared" si="73"/>
        <v>46.829574502059778</v>
      </c>
      <c r="S120" s="38">
        <f t="shared" si="73"/>
        <v>45.294178616746365</v>
      </c>
      <c r="T120" s="38">
        <f t="shared" si="73"/>
        <v>43.758782731432873</v>
      </c>
      <c r="U120" s="38">
        <f t="shared" si="73"/>
        <v>42.223386846119396</v>
      </c>
      <c r="V120" s="38">
        <f t="shared" si="73"/>
        <v>38.38489713283586</v>
      </c>
      <c r="W120" s="38">
        <f t="shared" si="73"/>
        <v>34.546407419552239</v>
      </c>
      <c r="X120" s="38">
        <f t="shared" si="73"/>
        <v>30.707917706268617</v>
      </c>
      <c r="Y120" s="38">
        <f t="shared" si="73"/>
        <v>26.869427992985038</v>
      </c>
      <c r="Z120" s="38">
        <f t="shared" si="73"/>
        <v>23.030938279701509</v>
      </c>
      <c r="AA120" s="38">
        <f t="shared" si="73"/>
        <v>18.424750623761277</v>
      </c>
      <c r="AB120" s="38">
        <f t="shared" si="73"/>
        <v>13.818562967820913</v>
      </c>
      <c r="AC120" s="38">
        <f t="shared" si="73"/>
        <v>9.212375311880594</v>
      </c>
      <c r="AD120" s="38">
        <f t="shared" si="73"/>
        <v>4.6061876559403192</v>
      </c>
      <c r="AE120" s="38">
        <f t="shared" si="73"/>
        <v>0</v>
      </c>
    </row>
    <row r="121" spans="2:31" x14ac:dyDescent="0.35">
      <c r="B121" s="104" t="s">
        <v>182</v>
      </c>
      <c r="C121" s="20" t="s">
        <v>183</v>
      </c>
      <c r="D121" s="27"/>
      <c r="E121" s="27"/>
      <c r="F121" s="23" t="s">
        <v>184</v>
      </c>
      <c r="G121" s="23" t="s">
        <v>98</v>
      </c>
      <c r="H121" s="38">
        <f>IF(AND('CCC Summary'!$C$17="Two-tier",(H119=$C114)),H$15,IF(H116=$C114,H$14,H$23))</f>
        <v>91.482432970149247</v>
      </c>
      <c r="I121" s="38">
        <f>IF(AND('CCC Summary'!$C$17="Two-tier",(I119=$C114)),I$15,IF(I116=$C114,I$14,I$23))</f>
        <v>88.181520440298513</v>
      </c>
      <c r="J121" s="38">
        <f>IF(AND('CCC Summary'!$C$17="Two-tier",(J119=$C114)),J$15,IF(J116=$C114,J$14,J$23))</f>
        <v>86.295284708955222</v>
      </c>
      <c r="K121" s="38">
        <f>IF(AND('CCC Summary'!$C$17="Two-tier",(K119=$C114)),K$15,IF(K116=$C114,K$14,K$23))</f>
        <v>82.994372179104474</v>
      </c>
      <c r="L121" s="38">
        <f>IF(AND('CCC Summary'!$C$17="Two-tier",(L119=$C114)),L$15,IF(L116=$C114,L$14,L$23))</f>
        <v>78.278782850746268</v>
      </c>
      <c r="M121" s="38">
        <f>IF(AND('CCC Summary'!$C$17="Two-tier",(M119=$C114)),M$15,IF(M116=$C114,M$14,M$23))</f>
        <v>73.091634589552243</v>
      </c>
      <c r="N121" s="38">
        <f>IF(AND('CCC Summary'!$C$17="Two-tier",(N119=$C114)),N$15,IF(N116=$C114,N$14,N$23))</f>
        <v>67.904486328358203</v>
      </c>
      <c r="O121" s="38">
        <f>IF(AND('CCC Summary'!$C$17="Two-tier",(O119=$C114)),O$15,IF(O116=$C114,O$14,O$23))</f>
        <v>62.717338067164178</v>
      </c>
      <c r="P121" s="38">
        <f>IF(AND('CCC Summary'!$C$17="Two-tier",(P119=$C114)),P$15,IF(P116=$C114,P$14,P$23))</f>
        <v>58.001748738805965</v>
      </c>
      <c r="Q121" s="38">
        <f>IF(AND('CCC Summary'!$C$17="Two-tier",(Q119=$C114)),Q$15,IF(Q116=$C114,Q$14,Q$23))</f>
        <v>52.531665117910443</v>
      </c>
      <c r="R121" s="38">
        <f>IF(AND('CCC Summary'!$C$17="Two-tier",(R119=$C114)),R$15,IF(R116=$C114,R$14,R$23))</f>
        <v>47.061581497014927</v>
      </c>
      <c r="S121" s="38">
        <f>IF(AND('CCC Summary'!$C$17="Two-tier",(S119=$C114)),S$15,IF(S116=$C114,S$14,S$23))</f>
        <v>41.591497876119398</v>
      </c>
      <c r="T121" s="38">
        <f>IF(AND('CCC Summary'!$C$17="Two-tier",(T119=$C114)),T$15,IF(T116=$C114,T$14,T$23))</f>
        <v>36.121414255223868</v>
      </c>
      <c r="U121" s="38">
        <f>IF(AND('CCC Summary'!$C$17="Two-tier",(U119=$C114)),U$15,IF(U116=$C114,U$14,U$23))</f>
        <v>30.651330634328353</v>
      </c>
      <c r="V121" s="38">
        <f>IF(AND('CCC Summary'!$C$17="Two-tier",(V119=$C114)),V$15,IF(V116=$C114,V$14,V$23))</f>
        <v>27.727665250746263</v>
      </c>
      <c r="W121" s="38">
        <f>IF(AND('CCC Summary'!$C$17="Two-tier",(W119=$C114)),W$15,IF(W116=$C114,W$14,W$23))</f>
        <v>24.803999867164169</v>
      </c>
      <c r="X121" s="38">
        <f>IF(AND('CCC Summary'!$C$17="Two-tier",(X119=$C114)),X$15,IF(X116=$C114,X$14,X$23))</f>
        <v>21.880334483582079</v>
      </c>
      <c r="Y121" s="38">
        <f>IF(AND('CCC Summary'!$C$17="Two-tier",(Y119=$C114)),Y$15,IF(Y116=$C114,Y$14,Y$23))</f>
        <v>18.956669099999985</v>
      </c>
      <c r="Z121" s="38">
        <f>IF(AND('CCC Summary'!$C$17="Two-tier",(Z119=$C114)),Z$15,IF(Z116=$C114,Z$14,Z$23))</f>
        <v>16.033003716417912</v>
      </c>
      <c r="AA121" s="38">
        <f>IF(AND('CCC Summary'!$C$17="Two-tier",(AA119=$C114)),AA$15,IF(AA116=$C114,AA$14,AA$23))</f>
        <v>13.203650119402987</v>
      </c>
      <c r="AB121" s="38">
        <f>IF(AND('CCC Summary'!$C$17="Two-tier",(AB119=$C114)),AB$15,IF(AB116=$C114,AB$14,AB$23))</f>
        <v>10.374296522388057</v>
      </c>
      <c r="AC121" s="38">
        <f>IF(AND('CCC Summary'!$C$17="Two-tier",(AC119=$C114)),AC$15,IF(AC116=$C114,AC$14,AC$23))</f>
        <v>7.5449429253731299</v>
      </c>
      <c r="AD121" s="38">
        <f>IF(AND('CCC Summary'!$C$17="Two-tier",(AD119=$C114)),AD$15,IF(AD116=$C114,AD$14,AD$23))</f>
        <v>4.7155893283582024</v>
      </c>
      <c r="AE121" s="38">
        <f>IF(AND('CCC Summary'!$C$17="Two-tier",(AE119=$C114)),AE$15,IF(AE116=$C114,AE$14,AE$23))</f>
        <v>1.8862357313432851</v>
      </c>
    </row>
    <row r="122" spans="2:31" x14ac:dyDescent="0.35">
      <c r="C122" s="20" t="s">
        <v>185</v>
      </c>
      <c r="D122" s="27"/>
      <c r="E122" s="27"/>
      <c r="F122" s="23" t="s">
        <v>186</v>
      </c>
      <c r="G122" s="23" t="s">
        <v>187</v>
      </c>
      <c r="H122" s="38">
        <f>H121*Data!$F$7</f>
        <v>3.7233350218850743</v>
      </c>
      <c r="I122" s="38">
        <f>I121*Data!$F$7</f>
        <v>3.5889878819201493</v>
      </c>
      <c r="J122" s="38">
        <f>J121*Data!$F$7</f>
        <v>3.5122180876544777</v>
      </c>
      <c r="K122" s="38">
        <f>K121*Data!$F$7</f>
        <v>3.3778709476895519</v>
      </c>
      <c r="L122" s="38">
        <f>L121*Data!$F$7</f>
        <v>3.185946462025373</v>
      </c>
      <c r="M122" s="38">
        <f>M121*Data!$F$7</f>
        <v>2.9748295277947765</v>
      </c>
      <c r="N122" s="38">
        <f>N121*Data!$F$7</f>
        <v>2.7637125935641791</v>
      </c>
      <c r="O122" s="38">
        <f>O121*Data!$F$7</f>
        <v>2.5525956593335821</v>
      </c>
      <c r="P122" s="38">
        <f>P121*Data!$F$7</f>
        <v>2.3606711736694028</v>
      </c>
      <c r="Q122" s="38">
        <f>Q121*Data!$F$7</f>
        <v>2.1380387702989552</v>
      </c>
      <c r="R122" s="38">
        <f>R121*Data!$F$7</f>
        <v>1.9154063669285075</v>
      </c>
      <c r="S122" s="38">
        <f>S121*Data!$F$7</f>
        <v>1.6927739635580594</v>
      </c>
      <c r="T122" s="38">
        <f>T121*Data!$F$7</f>
        <v>1.4701415601876116</v>
      </c>
      <c r="U122" s="38">
        <f>U121*Data!$F$7</f>
        <v>1.2475091568171639</v>
      </c>
      <c r="V122" s="38">
        <f>V121*Data!$F$7</f>
        <v>1.1285159757053729</v>
      </c>
      <c r="W122" s="38">
        <f>W121*Data!$F$7</f>
        <v>1.0095227945935816</v>
      </c>
      <c r="X122" s="38">
        <f>X121*Data!$F$7</f>
        <v>0.89052961348179061</v>
      </c>
      <c r="Y122" s="38">
        <f>Y121*Data!$F$7</f>
        <v>0.77153643236999936</v>
      </c>
      <c r="Z122" s="38">
        <f>Z121*Data!$F$7</f>
        <v>0.652543251258209</v>
      </c>
      <c r="AA122" s="38">
        <f>AA121*Data!$F$7</f>
        <v>0.53738855985970158</v>
      </c>
      <c r="AB122" s="38">
        <f>AB121*Data!$F$7</f>
        <v>0.42223386846119393</v>
      </c>
      <c r="AC122" s="38">
        <f>AC121*Data!$F$7</f>
        <v>0.30707917706268639</v>
      </c>
      <c r="AD122" s="38">
        <f>AD121*Data!$F$7</f>
        <v>0.19192448566417883</v>
      </c>
      <c r="AE122" s="38">
        <f>AE121*Data!$F$7</f>
        <v>7.6769794265671709E-2</v>
      </c>
    </row>
    <row r="123" spans="2:31" x14ac:dyDescent="0.35">
      <c r="C123" s="20" t="s">
        <v>188</v>
      </c>
      <c r="D123" s="27"/>
      <c r="E123" s="27" t="s">
        <v>189</v>
      </c>
      <c r="F123" s="23" t="s">
        <v>190</v>
      </c>
      <c r="G123" s="23" t="s">
        <v>191</v>
      </c>
      <c r="H123" s="38">
        <f t="shared" ref="H123:AE123" si="74">H122*H$16</f>
        <v>0</v>
      </c>
      <c r="I123" s="38">
        <f t="shared" si="74"/>
        <v>0</v>
      </c>
      <c r="J123" s="38">
        <f t="shared" si="74"/>
        <v>0</v>
      </c>
      <c r="K123" s="38">
        <f t="shared" si="74"/>
        <v>0</v>
      </c>
      <c r="L123" s="38">
        <f t="shared" si="74"/>
        <v>0</v>
      </c>
      <c r="M123" s="38">
        <f t="shared" si="74"/>
        <v>0</v>
      </c>
      <c r="N123" s="38">
        <f t="shared" si="74"/>
        <v>0</v>
      </c>
      <c r="O123" s="38">
        <f t="shared" si="74"/>
        <v>0</v>
      </c>
      <c r="P123" s="38">
        <f t="shared" si="74"/>
        <v>0</v>
      </c>
      <c r="Q123" s="38">
        <f t="shared" si="74"/>
        <v>0</v>
      </c>
      <c r="R123" s="38">
        <f t="shared" si="74"/>
        <v>0</v>
      </c>
      <c r="S123" s="38">
        <f t="shared" si="74"/>
        <v>0</v>
      </c>
      <c r="T123" s="38">
        <f t="shared" si="74"/>
        <v>0</v>
      </c>
      <c r="U123" s="38">
        <f t="shared" si="74"/>
        <v>0</v>
      </c>
      <c r="V123" s="38">
        <f t="shared" si="74"/>
        <v>0</v>
      </c>
      <c r="W123" s="38">
        <f t="shared" si="74"/>
        <v>0</v>
      </c>
      <c r="X123" s="38">
        <f t="shared" si="74"/>
        <v>0</v>
      </c>
      <c r="Y123" s="38">
        <f t="shared" si="74"/>
        <v>0</v>
      </c>
      <c r="Z123" s="38">
        <f t="shared" si="74"/>
        <v>0</v>
      </c>
      <c r="AA123" s="38">
        <f t="shared" si="74"/>
        <v>0</v>
      </c>
      <c r="AB123" s="38">
        <f t="shared" si="74"/>
        <v>0</v>
      </c>
      <c r="AC123" s="38">
        <f t="shared" si="74"/>
        <v>0</v>
      </c>
      <c r="AD123" s="38">
        <f t="shared" si="74"/>
        <v>0</v>
      </c>
      <c r="AE123" s="38">
        <f t="shared" si="74"/>
        <v>0</v>
      </c>
    </row>
    <row r="124" spans="2:31" x14ac:dyDescent="0.35">
      <c r="B124" s="99" t="s">
        <v>216</v>
      </c>
      <c r="C124" s="20" t="s">
        <v>217</v>
      </c>
      <c r="D124" s="27"/>
      <c r="E124" s="27"/>
      <c r="F124" s="23" t="s">
        <v>218</v>
      </c>
      <c r="G124" s="23" t="s">
        <v>98</v>
      </c>
      <c r="H124" s="38">
        <f>H121-H$23</f>
        <v>-2.8293535970149577</v>
      </c>
      <c r="I124" s="38">
        <f t="shared" ref="I124:AE124" si="75">I121-I$23</f>
        <v>-6.1302661268656919</v>
      </c>
      <c r="J124" s="38">
        <f t="shared" si="75"/>
        <v>-8.0165018582089829</v>
      </c>
      <c r="K124" s="38">
        <f t="shared" si="75"/>
        <v>-11.317414388059731</v>
      </c>
      <c r="L124" s="38">
        <f t="shared" si="75"/>
        <v>-16.033003716417937</v>
      </c>
      <c r="M124" s="38">
        <f t="shared" si="75"/>
        <v>-21.220151977611962</v>
      </c>
      <c r="N124" s="38">
        <f t="shared" si="75"/>
        <v>-26.407300238806002</v>
      </c>
      <c r="O124" s="38">
        <f t="shared" si="75"/>
        <v>-31.594448500000027</v>
      </c>
      <c r="P124" s="38">
        <f t="shared" si="75"/>
        <v>-36.31003782835824</v>
      </c>
      <c r="Q124" s="38">
        <f t="shared" si="75"/>
        <v>-41.780121449253762</v>
      </c>
      <c r="R124" s="38">
        <f t="shared" si="75"/>
        <v>-47.250205070149278</v>
      </c>
      <c r="S124" s="38">
        <f t="shared" si="75"/>
        <v>-52.720288691044807</v>
      </c>
      <c r="T124" s="38">
        <f t="shared" si="75"/>
        <v>-58.190372311940337</v>
      </c>
      <c r="U124" s="38">
        <f t="shared" si="75"/>
        <v>-63.660455932835852</v>
      </c>
      <c r="V124" s="38">
        <f t="shared" si="75"/>
        <v>-66.584121316417935</v>
      </c>
      <c r="W124" s="38">
        <f t="shared" si="75"/>
        <v>-69.50778670000004</v>
      </c>
      <c r="X124" s="38">
        <f t="shared" si="75"/>
        <v>-72.43145208358213</v>
      </c>
      <c r="Y124" s="38">
        <f t="shared" si="75"/>
        <v>-75.35511746716422</v>
      </c>
      <c r="Z124" s="38">
        <f t="shared" si="75"/>
        <v>-78.278782850746296</v>
      </c>
      <c r="AA124" s="38">
        <f t="shared" si="75"/>
        <v>-81.108136447761211</v>
      </c>
      <c r="AB124" s="38">
        <f t="shared" si="75"/>
        <v>-83.937490044776155</v>
      </c>
      <c r="AC124" s="38">
        <f t="shared" si="75"/>
        <v>-86.76684364179107</v>
      </c>
      <c r="AD124" s="38">
        <f t="shared" si="75"/>
        <v>-89.596197238805999</v>
      </c>
      <c r="AE124" s="38">
        <f t="shared" si="75"/>
        <v>-92.425550835820914</v>
      </c>
    </row>
    <row r="125" spans="2:31" x14ac:dyDescent="0.35">
      <c r="C125" s="20" t="s">
        <v>219</v>
      </c>
      <c r="D125" s="27"/>
      <c r="E125" s="27"/>
      <c r="F125" s="23" t="s">
        <v>220</v>
      </c>
      <c r="G125" s="23" t="s">
        <v>187</v>
      </c>
      <c r="H125" s="38">
        <f>H124*Data!$F$7</f>
        <v>-0.11515469139850878</v>
      </c>
      <c r="I125" s="38">
        <f>I124*Data!$F$7</f>
        <v>-0.24950183136343365</v>
      </c>
      <c r="J125" s="38">
        <f>J124*Data!$F$7</f>
        <v>-0.32627162562910561</v>
      </c>
      <c r="K125" s="38">
        <f>K124*Data!$F$7</f>
        <v>-0.46061876559403109</v>
      </c>
      <c r="L125" s="38">
        <f>L124*Data!$F$7</f>
        <v>-0.65254325125821</v>
      </c>
      <c r="M125" s="38">
        <f>M124*Data!$F$7</f>
        <v>-0.86366018548880685</v>
      </c>
      <c r="N125" s="38">
        <f>N124*Data!$F$7</f>
        <v>-1.0747771197194043</v>
      </c>
      <c r="O125" s="38">
        <f>O124*Data!$F$7</f>
        <v>-1.285894053950001</v>
      </c>
      <c r="P125" s="38">
        <f>P124*Data!$F$7</f>
        <v>-1.4778185396141803</v>
      </c>
      <c r="Q125" s="38">
        <f>Q124*Data!$F$7</f>
        <v>-1.7004509429846282</v>
      </c>
      <c r="R125" s="38">
        <f>R124*Data!$F$7</f>
        <v>-1.9230833463550756</v>
      </c>
      <c r="S125" s="38">
        <f>S124*Data!$F$7</f>
        <v>-2.1457157497255235</v>
      </c>
      <c r="T125" s="38">
        <f>T124*Data!$F$7</f>
        <v>-2.3683481530959716</v>
      </c>
      <c r="U125" s="38">
        <f>U124*Data!$F$7</f>
        <v>-2.5909805564664192</v>
      </c>
      <c r="V125" s="38">
        <f>V124*Data!$F$7</f>
        <v>-2.7099737375782098</v>
      </c>
      <c r="W125" s="38">
        <f>W124*Data!$F$7</f>
        <v>-2.8289669186900017</v>
      </c>
      <c r="X125" s="38">
        <f>X124*Data!$F$7</f>
        <v>-2.9479600998017927</v>
      </c>
      <c r="Y125" s="38">
        <f>Y124*Data!$F$7</f>
        <v>-3.0669532809135838</v>
      </c>
      <c r="Z125" s="38">
        <f>Z124*Data!$F$7</f>
        <v>-3.1859464620253743</v>
      </c>
      <c r="AA125" s="38">
        <f>AA124*Data!$F$7</f>
        <v>-3.3011011534238812</v>
      </c>
      <c r="AB125" s="38">
        <f>AB124*Data!$F$7</f>
        <v>-3.4162558448223894</v>
      </c>
      <c r="AC125" s="38">
        <f>AC124*Data!$F$7</f>
        <v>-3.5314105362208967</v>
      </c>
      <c r="AD125" s="38">
        <f>AD124*Data!$F$7</f>
        <v>-3.646565227619404</v>
      </c>
      <c r="AE125" s="38">
        <f>AE124*Data!$F$7</f>
        <v>-3.7617199190179114</v>
      </c>
    </row>
    <row r="126" spans="2:31" x14ac:dyDescent="0.35">
      <c r="C126" s="20" t="s">
        <v>221</v>
      </c>
      <c r="D126" s="27"/>
      <c r="E126" s="27" t="s">
        <v>222</v>
      </c>
      <c r="F126" s="23" t="s">
        <v>223</v>
      </c>
      <c r="G126" s="23" t="s">
        <v>134</v>
      </c>
      <c r="H126" s="38">
        <f>H125*H$17</f>
        <v>-46.061876559403515</v>
      </c>
      <c r="I126" s="38">
        <f t="shared" ref="I126:AE126" si="76">I125*I$17</f>
        <v>-99.800732545373464</v>
      </c>
      <c r="J126" s="38">
        <f t="shared" si="76"/>
        <v>-130.50865025164225</v>
      </c>
      <c r="K126" s="38">
        <f t="shared" si="76"/>
        <v>-161.21656795791088</v>
      </c>
      <c r="L126" s="38">
        <f t="shared" si="76"/>
        <v>-195.76297537746299</v>
      </c>
      <c r="M126" s="38">
        <f t="shared" si="76"/>
        <v>-215.91504637220172</v>
      </c>
      <c r="N126" s="38">
        <f t="shared" si="76"/>
        <v>-214.95542394388085</v>
      </c>
      <c r="O126" s="38">
        <f t="shared" si="76"/>
        <v>-192.88410809250016</v>
      </c>
      <c r="P126" s="38">
        <f t="shared" si="76"/>
        <v>-147.78185396141802</v>
      </c>
      <c r="Q126" s="38">
        <f t="shared" si="76"/>
        <v>-144.53833015369341</v>
      </c>
      <c r="R126" s="38">
        <f t="shared" si="76"/>
        <v>-134.61583424485528</v>
      </c>
      <c r="S126" s="38">
        <f t="shared" si="76"/>
        <v>-118.01436623490379</v>
      </c>
      <c r="T126" s="38">
        <f t="shared" si="76"/>
        <v>-94.73392612383887</v>
      </c>
      <c r="U126" s="38">
        <f t="shared" si="76"/>
        <v>-64.774513911660478</v>
      </c>
      <c r="V126" s="38">
        <f t="shared" si="76"/>
        <v>-62.329395964298826</v>
      </c>
      <c r="W126" s="38">
        <f t="shared" si="76"/>
        <v>-59.408305292490034</v>
      </c>
      <c r="X126" s="38">
        <f t="shared" si="76"/>
        <v>-56.011241896234061</v>
      </c>
      <c r="Y126" s="38">
        <f t="shared" si="76"/>
        <v>-52.138205775530921</v>
      </c>
      <c r="Z126" s="38">
        <f t="shared" si="76"/>
        <v>-47.789196930380612</v>
      </c>
      <c r="AA126" s="38">
        <f t="shared" si="76"/>
        <v>-42.914314994510455</v>
      </c>
      <c r="AB126" s="38">
        <f t="shared" si="76"/>
        <v>-37.578814293046285</v>
      </c>
      <c r="AC126" s="38">
        <f t="shared" si="76"/>
        <v>-31.78269482598807</v>
      </c>
      <c r="AD126" s="38">
        <f t="shared" si="76"/>
        <v>-25.525956593335827</v>
      </c>
      <c r="AE126" s="38">
        <f t="shared" si="76"/>
        <v>-18.808599595089557</v>
      </c>
    </row>
    <row r="127" spans="2:31" x14ac:dyDescent="0.35">
      <c r="B127" s="99" t="s">
        <v>192</v>
      </c>
      <c r="C127" s="24" t="s">
        <v>77</v>
      </c>
      <c r="D127" s="105"/>
      <c r="E127" s="105" t="s">
        <v>193</v>
      </c>
      <c r="F127" s="106"/>
      <c r="G127" s="106" t="s">
        <v>134</v>
      </c>
      <c r="H127" s="143">
        <f>H27*Data!$F$7*1000</f>
        <v>595.59313106796242</v>
      </c>
      <c r="I127" s="143">
        <f>I27*Data!$F$7*1000</f>
        <v>579.61936893203745</v>
      </c>
      <c r="J127" s="143">
        <f>J27*Data!$F$7*1000</f>
        <v>563.64560679611247</v>
      </c>
      <c r="K127" s="143">
        <f>K27*Data!$F$7*1000</f>
        <v>547.6718446601941</v>
      </c>
      <c r="L127" s="143">
        <f>L27*Data!$F$7*1000</f>
        <v>547.6718446601941</v>
      </c>
      <c r="M127" s="143">
        <f>M27*Data!$F$7*1000</f>
        <v>547.6718446601941</v>
      </c>
      <c r="N127" s="143">
        <f>N27*Data!$F$7*1000</f>
        <v>547.6718446601941</v>
      </c>
      <c r="O127" s="143">
        <f>O27*Data!$F$7*1000</f>
        <v>547.6718446601941</v>
      </c>
      <c r="P127" s="143">
        <f>P27*Data!$F$7*1000</f>
        <v>547.6718446601941</v>
      </c>
      <c r="Q127" s="143">
        <f>Q27*Data!$F$7*1000</f>
        <v>547.6718446601941</v>
      </c>
      <c r="R127" s="143">
        <f>R27*Data!$F$7*1000</f>
        <v>547.6718446601941</v>
      </c>
      <c r="S127" s="143">
        <f>S27*Data!$F$7*1000</f>
        <v>547.6718446601941</v>
      </c>
      <c r="T127" s="143">
        <f>T27*Data!$F$7*1000</f>
        <v>547.6718446601941</v>
      </c>
      <c r="U127" s="143">
        <f>U27*Data!$F$7*1000</f>
        <v>547.6718446601941</v>
      </c>
      <c r="V127" s="143">
        <f>V27*Data!$F$7*1000</f>
        <v>547.6718446601941</v>
      </c>
      <c r="W127" s="143">
        <f>W27*Data!$F$7*1000</f>
        <v>547.6718446601941</v>
      </c>
      <c r="X127" s="143">
        <f>X27*Data!$F$7*1000</f>
        <v>547.6718446601941</v>
      </c>
      <c r="Y127" s="143">
        <f>Y27*Data!$F$7*1000</f>
        <v>547.6718446601941</v>
      </c>
      <c r="Z127" s="143">
        <f>Z27*Data!$F$7*1000</f>
        <v>547.6718446601941</v>
      </c>
      <c r="AA127" s="143">
        <f>AA27*Data!$F$7*1000</f>
        <v>547.6718446601941</v>
      </c>
      <c r="AB127" s="143">
        <f>AB27*Data!$F$7*1000</f>
        <v>547.6718446601941</v>
      </c>
      <c r="AC127" s="143">
        <f>AC27*Data!$F$7*1000</f>
        <v>547.6718446601941</v>
      </c>
      <c r="AD127" s="143">
        <f>AD27*Data!$F$7*1000</f>
        <v>547.6718446601941</v>
      </c>
      <c r="AE127" s="143">
        <f>AE27*Data!$F$7*1000</f>
        <v>547.6718446601941</v>
      </c>
    </row>
    <row r="128" spans="2:31" x14ac:dyDescent="0.35">
      <c r="C128" s="24" t="s">
        <v>297</v>
      </c>
      <c r="D128" s="105"/>
      <c r="E128" s="105" t="s">
        <v>224</v>
      </c>
      <c r="F128" s="106"/>
      <c r="G128" s="106" t="s">
        <v>134</v>
      </c>
      <c r="H128" s="143">
        <f>H117</f>
        <v>36.81356229773499</v>
      </c>
      <c r="I128" s="143">
        <f t="shared" ref="I128:AE128" si="77">I117</f>
        <v>80.916378910464175</v>
      </c>
      <c r="J128" s="143">
        <f t="shared" si="77"/>
        <v>107.32235935814528</v>
      </c>
      <c r="K128" s="143">
        <f t="shared" si="77"/>
        <v>153.64375404530779</v>
      </c>
      <c r="L128" s="143">
        <f t="shared" si="77"/>
        <v>217.66198489751915</v>
      </c>
      <c r="M128" s="143">
        <f t="shared" si="77"/>
        <v>288.08203883495162</v>
      </c>
      <c r="N128" s="143">
        <f t="shared" si="77"/>
        <v>358.50209277238434</v>
      </c>
      <c r="O128" s="143">
        <f t="shared" si="77"/>
        <v>428.92214670981679</v>
      </c>
      <c r="P128" s="143">
        <f t="shared" si="77"/>
        <v>492.94037756202823</v>
      </c>
      <c r="Q128" s="143">
        <f t="shared" si="77"/>
        <v>567.20152535059356</v>
      </c>
      <c r="R128" s="143">
        <f t="shared" si="77"/>
        <v>641.46267313915871</v>
      </c>
      <c r="S128" s="143">
        <f t="shared" si="77"/>
        <v>715.72382092772398</v>
      </c>
      <c r="T128" s="143">
        <f t="shared" si="77"/>
        <v>789.98496871628925</v>
      </c>
      <c r="U128" s="143">
        <f t="shared" si="77"/>
        <v>864.24611650485451</v>
      </c>
      <c r="V128" s="143">
        <f t="shared" si="77"/>
        <v>903.93741963322543</v>
      </c>
      <c r="W128" s="143">
        <f t="shared" si="77"/>
        <v>943.6287227615968</v>
      </c>
      <c r="X128" s="143">
        <f t="shared" si="77"/>
        <v>983.32002588996784</v>
      </c>
      <c r="Y128" s="143">
        <f t="shared" si="77"/>
        <v>1023.0113290183389</v>
      </c>
      <c r="Z128" s="143">
        <f t="shared" si="77"/>
        <v>1062.7026321467099</v>
      </c>
      <c r="AA128" s="143">
        <f t="shared" si="77"/>
        <v>1101.1135706580365</v>
      </c>
      <c r="AB128" s="143">
        <f t="shared" si="77"/>
        <v>1139.5245091693635</v>
      </c>
      <c r="AC128" s="143">
        <f t="shared" si="77"/>
        <v>1177.9354476806905</v>
      </c>
      <c r="AD128" s="143">
        <f t="shared" si="77"/>
        <v>1216.3463861920172</v>
      </c>
      <c r="AE128" s="143">
        <f t="shared" si="77"/>
        <v>1254.757324703344</v>
      </c>
    </row>
    <row r="129" spans="2:31" x14ac:dyDescent="0.35">
      <c r="C129" s="24" t="s">
        <v>296</v>
      </c>
      <c r="D129" s="105"/>
      <c r="E129" s="105" t="s">
        <v>210</v>
      </c>
      <c r="F129" s="106"/>
      <c r="G129" s="106" t="s">
        <v>134</v>
      </c>
      <c r="H129" s="143">
        <f>H120</f>
        <v>17.273203709776112</v>
      </c>
      <c r="I129" s="143">
        <f t="shared" ref="I129:AE129" si="78">I120</f>
        <v>24.950183136343309</v>
      </c>
      <c r="J129" s="143">
        <f t="shared" si="78"/>
        <v>42.223386846119425</v>
      </c>
      <c r="K129" s="143">
        <f t="shared" si="78"/>
        <v>47.981121416044772</v>
      </c>
      <c r="L129" s="143">
        <f t="shared" si="78"/>
        <v>49.900366272686561</v>
      </c>
      <c r="M129" s="143">
        <f t="shared" si="78"/>
        <v>49.90036627268659</v>
      </c>
      <c r="N129" s="143">
        <f t="shared" si="78"/>
        <v>49.900366272686526</v>
      </c>
      <c r="O129" s="143">
        <f t="shared" si="78"/>
        <v>47.981121416044779</v>
      </c>
      <c r="P129" s="143">
        <f t="shared" si="78"/>
        <v>49.900366272686568</v>
      </c>
      <c r="Q129" s="143">
        <f t="shared" si="78"/>
        <v>48.364970387373148</v>
      </c>
      <c r="R129" s="143">
        <f t="shared" si="78"/>
        <v>46.829574502059778</v>
      </c>
      <c r="S129" s="143">
        <f t="shared" si="78"/>
        <v>45.294178616746365</v>
      </c>
      <c r="T129" s="143">
        <f t="shared" si="78"/>
        <v>43.758782731432873</v>
      </c>
      <c r="U129" s="143">
        <f t="shared" si="78"/>
        <v>42.223386846119396</v>
      </c>
      <c r="V129" s="143">
        <f t="shared" si="78"/>
        <v>38.38489713283586</v>
      </c>
      <c r="W129" s="143">
        <f t="shared" si="78"/>
        <v>34.546407419552239</v>
      </c>
      <c r="X129" s="143">
        <f t="shared" si="78"/>
        <v>30.707917706268617</v>
      </c>
      <c r="Y129" s="143">
        <f t="shared" si="78"/>
        <v>26.869427992985038</v>
      </c>
      <c r="Z129" s="143">
        <f t="shared" si="78"/>
        <v>23.030938279701509</v>
      </c>
      <c r="AA129" s="143">
        <f t="shared" si="78"/>
        <v>18.424750623761277</v>
      </c>
      <c r="AB129" s="143">
        <f t="shared" si="78"/>
        <v>13.818562967820913</v>
      </c>
      <c r="AC129" s="143">
        <f t="shared" si="78"/>
        <v>9.212375311880594</v>
      </c>
      <c r="AD129" s="143">
        <f t="shared" si="78"/>
        <v>4.6061876559403192</v>
      </c>
      <c r="AE129" s="143">
        <f t="shared" si="78"/>
        <v>0</v>
      </c>
    </row>
    <row r="130" spans="2:31" ht="13.5" customHeight="1" x14ac:dyDescent="0.35">
      <c r="C130" s="24" t="s">
        <v>83</v>
      </c>
      <c r="D130" s="105"/>
      <c r="E130" s="105"/>
      <c r="F130" s="106"/>
      <c r="G130" s="106" t="s">
        <v>134</v>
      </c>
      <c r="H130" s="143">
        <f>H123</f>
        <v>0</v>
      </c>
      <c r="I130" s="143">
        <f t="shared" ref="I130:AE130" si="79">I123</f>
        <v>0</v>
      </c>
      <c r="J130" s="143">
        <f t="shared" si="79"/>
        <v>0</v>
      </c>
      <c r="K130" s="143">
        <f t="shared" si="79"/>
        <v>0</v>
      </c>
      <c r="L130" s="143">
        <f t="shared" si="79"/>
        <v>0</v>
      </c>
      <c r="M130" s="143">
        <f t="shared" si="79"/>
        <v>0</v>
      </c>
      <c r="N130" s="143">
        <f t="shared" si="79"/>
        <v>0</v>
      </c>
      <c r="O130" s="143">
        <f t="shared" si="79"/>
        <v>0</v>
      </c>
      <c r="P130" s="143">
        <f t="shared" si="79"/>
        <v>0</v>
      </c>
      <c r="Q130" s="143">
        <f t="shared" si="79"/>
        <v>0</v>
      </c>
      <c r="R130" s="143">
        <f t="shared" si="79"/>
        <v>0</v>
      </c>
      <c r="S130" s="143">
        <f t="shared" si="79"/>
        <v>0</v>
      </c>
      <c r="T130" s="143">
        <f t="shared" si="79"/>
        <v>0</v>
      </c>
      <c r="U130" s="143">
        <f t="shared" si="79"/>
        <v>0</v>
      </c>
      <c r="V130" s="143">
        <f t="shared" si="79"/>
        <v>0</v>
      </c>
      <c r="W130" s="143">
        <f t="shared" si="79"/>
        <v>0</v>
      </c>
      <c r="X130" s="143">
        <f t="shared" si="79"/>
        <v>0</v>
      </c>
      <c r="Y130" s="143">
        <f t="shared" si="79"/>
        <v>0</v>
      </c>
      <c r="Z130" s="143">
        <f t="shared" si="79"/>
        <v>0</v>
      </c>
      <c r="AA130" s="143">
        <f t="shared" si="79"/>
        <v>0</v>
      </c>
      <c r="AB130" s="143">
        <f t="shared" si="79"/>
        <v>0</v>
      </c>
      <c r="AC130" s="143">
        <f t="shared" si="79"/>
        <v>0</v>
      </c>
      <c r="AD130" s="143">
        <f t="shared" si="79"/>
        <v>0</v>
      </c>
      <c r="AE130" s="143">
        <f t="shared" si="79"/>
        <v>0</v>
      </c>
    </row>
    <row r="131" spans="2:31" ht="15" thickBot="1" x14ac:dyDescent="0.4">
      <c r="C131" s="107" t="s">
        <v>87</v>
      </c>
      <c r="D131" s="108"/>
      <c r="E131" s="108"/>
      <c r="F131" s="109"/>
      <c r="G131" s="109" t="s">
        <v>134</v>
      </c>
      <c r="H131" s="144">
        <f>H126</f>
        <v>-46.061876559403515</v>
      </c>
      <c r="I131" s="144">
        <f t="shared" ref="I131:AE131" si="80">I126</f>
        <v>-99.800732545373464</v>
      </c>
      <c r="J131" s="144">
        <f t="shared" si="80"/>
        <v>-130.50865025164225</v>
      </c>
      <c r="K131" s="144">
        <f t="shared" si="80"/>
        <v>-161.21656795791088</v>
      </c>
      <c r="L131" s="144">
        <f t="shared" si="80"/>
        <v>-195.76297537746299</v>
      </c>
      <c r="M131" s="144">
        <f t="shared" si="80"/>
        <v>-215.91504637220172</v>
      </c>
      <c r="N131" s="144">
        <f t="shared" si="80"/>
        <v>-214.95542394388085</v>
      </c>
      <c r="O131" s="144">
        <f t="shared" si="80"/>
        <v>-192.88410809250016</v>
      </c>
      <c r="P131" s="144">
        <f t="shared" si="80"/>
        <v>-147.78185396141802</v>
      </c>
      <c r="Q131" s="144">
        <f t="shared" si="80"/>
        <v>-144.53833015369341</v>
      </c>
      <c r="R131" s="144">
        <f t="shared" si="80"/>
        <v>-134.61583424485528</v>
      </c>
      <c r="S131" s="144">
        <f t="shared" si="80"/>
        <v>-118.01436623490379</v>
      </c>
      <c r="T131" s="144">
        <f t="shared" si="80"/>
        <v>-94.73392612383887</v>
      </c>
      <c r="U131" s="144">
        <f t="shared" si="80"/>
        <v>-64.774513911660478</v>
      </c>
      <c r="V131" s="144">
        <f t="shared" si="80"/>
        <v>-62.329395964298826</v>
      </c>
      <c r="W131" s="144">
        <f t="shared" si="80"/>
        <v>-59.408305292490034</v>
      </c>
      <c r="X131" s="144">
        <f t="shared" si="80"/>
        <v>-56.011241896234061</v>
      </c>
      <c r="Y131" s="144">
        <f t="shared" si="80"/>
        <v>-52.138205775530921</v>
      </c>
      <c r="Z131" s="144">
        <f t="shared" si="80"/>
        <v>-47.789196930380612</v>
      </c>
      <c r="AA131" s="144">
        <f t="shared" si="80"/>
        <v>-42.914314994510455</v>
      </c>
      <c r="AB131" s="144">
        <f t="shared" si="80"/>
        <v>-37.578814293046285</v>
      </c>
      <c r="AC131" s="144">
        <f t="shared" si="80"/>
        <v>-31.78269482598807</v>
      </c>
      <c r="AD131" s="144">
        <f t="shared" si="80"/>
        <v>-25.525956593335827</v>
      </c>
      <c r="AE131" s="144">
        <f t="shared" si="80"/>
        <v>-18.808599595089557</v>
      </c>
    </row>
    <row r="132" spans="2:31" ht="15" thickTop="1" x14ac:dyDescent="0.35">
      <c r="C132" s="110" t="s">
        <v>89</v>
      </c>
      <c r="D132" s="105"/>
      <c r="E132" s="27"/>
      <c r="F132" s="23" t="s">
        <v>195</v>
      </c>
      <c r="G132" s="106" t="s">
        <v>134</v>
      </c>
      <c r="H132" s="143">
        <f>SUM(H127:H131)</f>
        <v>603.61802051606992</v>
      </c>
      <c r="I132" s="143">
        <f t="shared" ref="I132:AE132" si="81">SUM(I127:I131)</f>
        <v>585.68519843347156</v>
      </c>
      <c r="J132" s="143">
        <f t="shared" si="81"/>
        <v>582.68270274873487</v>
      </c>
      <c r="K132" s="143">
        <f t="shared" si="81"/>
        <v>588.08015216363572</v>
      </c>
      <c r="L132" s="143">
        <f t="shared" si="81"/>
        <v>619.47122045293679</v>
      </c>
      <c r="M132" s="143">
        <f t="shared" si="81"/>
        <v>669.73920339563062</v>
      </c>
      <c r="N132" s="143">
        <f t="shared" si="81"/>
        <v>741.11887976138405</v>
      </c>
      <c r="O132" s="143">
        <f t="shared" si="81"/>
        <v>831.69100469355544</v>
      </c>
      <c r="P132" s="143">
        <f t="shared" si="81"/>
        <v>942.73073453349082</v>
      </c>
      <c r="Q132" s="143">
        <f t="shared" si="81"/>
        <v>1018.7000102444675</v>
      </c>
      <c r="R132" s="143">
        <f t="shared" si="81"/>
        <v>1101.3482580565574</v>
      </c>
      <c r="S132" s="143">
        <f t="shared" si="81"/>
        <v>1190.6754779697608</v>
      </c>
      <c r="T132" s="143">
        <f t="shared" si="81"/>
        <v>1286.6816699840772</v>
      </c>
      <c r="U132" s="143">
        <f t="shared" si="81"/>
        <v>1389.3668340995075</v>
      </c>
      <c r="V132" s="143">
        <f t="shared" si="81"/>
        <v>1427.6647654619567</v>
      </c>
      <c r="W132" s="143">
        <f t="shared" si="81"/>
        <v>1466.4386695488531</v>
      </c>
      <c r="X132" s="143">
        <f t="shared" si="81"/>
        <v>1505.6885463601964</v>
      </c>
      <c r="Y132" s="143">
        <f t="shared" si="81"/>
        <v>1545.4143958959871</v>
      </c>
      <c r="Z132" s="143">
        <f t="shared" si="81"/>
        <v>1585.6162181562252</v>
      </c>
      <c r="AA132" s="143">
        <f t="shared" si="81"/>
        <v>1624.2958509474815</v>
      </c>
      <c r="AB132" s="143">
        <f t="shared" si="81"/>
        <v>1663.4361025043324</v>
      </c>
      <c r="AC132" s="143">
        <f t="shared" si="81"/>
        <v>1703.0369728267772</v>
      </c>
      <c r="AD132" s="143">
        <f t="shared" si="81"/>
        <v>1743.0984619148157</v>
      </c>
      <c r="AE132" s="143">
        <f t="shared" si="81"/>
        <v>1783.6205697684486</v>
      </c>
    </row>
    <row r="133" spans="2:31" x14ac:dyDescent="0.35">
      <c r="C133" s="27"/>
      <c r="D133" s="23"/>
      <c r="E133" s="23"/>
      <c r="F133" s="25"/>
      <c r="H133" s="38"/>
      <c r="J133" s="95"/>
      <c r="K133" s="95"/>
      <c r="L133" s="95"/>
      <c r="M133" s="95"/>
      <c r="N133" s="95"/>
      <c r="O133" s="95"/>
      <c r="P133" s="95"/>
      <c r="Q133" s="95"/>
      <c r="R133" s="95"/>
      <c r="S133" s="95"/>
      <c r="T133" s="95"/>
      <c r="U133" s="95"/>
      <c r="V133" s="95"/>
      <c r="W133" s="95"/>
      <c r="X133" s="95"/>
      <c r="Y133" s="95"/>
      <c r="Z133" s="95"/>
      <c r="AA133" s="95"/>
      <c r="AB133" s="95"/>
      <c r="AC133" s="95"/>
      <c r="AD133" s="95"/>
    </row>
    <row r="134" spans="2:31" x14ac:dyDescent="0.35">
      <c r="H134" s="38"/>
      <c r="J134" s="95"/>
      <c r="K134" s="95"/>
      <c r="L134" s="95"/>
      <c r="M134" s="95"/>
      <c r="N134" s="95"/>
      <c r="O134" s="95"/>
      <c r="P134" s="95"/>
      <c r="Q134" s="95"/>
      <c r="R134" s="95"/>
      <c r="S134" s="95"/>
      <c r="T134" s="95"/>
      <c r="U134" s="95"/>
      <c r="V134" s="95"/>
      <c r="W134" s="95"/>
      <c r="X134" s="95"/>
      <c r="Y134" s="95"/>
      <c r="Z134" s="95"/>
      <c r="AA134" s="95"/>
      <c r="AB134" s="95"/>
      <c r="AC134" s="95"/>
      <c r="AD134" s="95"/>
    </row>
    <row r="135" spans="2:31" x14ac:dyDescent="0.35">
      <c r="C135" s="24" t="s">
        <v>73</v>
      </c>
      <c r="D135" s="27"/>
      <c r="E135" s="27"/>
      <c r="F135" s="23"/>
      <c r="G135" s="23"/>
    </row>
    <row r="136" spans="2:31" x14ac:dyDescent="0.35">
      <c r="C136" s="48" t="s">
        <v>110</v>
      </c>
      <c r="D136" s="93" t="s">
        <v>111</v>
      </c>
      <c r="E136" s="93" t="s">
        <v>75</v>
      </c>
      <c r="F136" s="93" t="s">
        <v>93</v>
      </c>
      <c r="G136" s="40" t="s">
        <v>94</v>
      </c>
      <c r="H136" s="136">
        <v>2027</v>
      </c>
      <c r="I136" s="137">
        <v>2028</v>
      </c>
      <c r="J136" s="137">
        <v>2029</v>
      </c>
      <c r="K136" s="137">
        <v>2030</v>
      </c>
      <c r="L136" s="137">
        <v>2031</v>
      </c>
      <c r="M136" s="137">
        <v>2032</v>
      </c>
      <c r="N136" s="137">
        <v>2033</v>
      </c>
      <c r="O136" s="137">
        <v>2034</v>
      </c>
      <c r="P136" s="137">
        <v>2035</v>
      </c>
      <c r="Q136" s="136">
        <v>2036</v>
      </c>
      <c r="R136" s="136">
        <v>2037</v>
      </c>
      <c r="S136" s="137">
        <v>2038</v>
      </c>
      <c r="T136" s="137">
        <v>2039</v>
      </c>
      <c r="U136" s="137">
        <v>2040</v>
      </c>
      <c r="V136" s="137">
        <v>2041</v>
      </c>
      <c r="W136" s="137">
        <v>2042</v>
      </c>
      <c r="X136" s="137">
        <v>2043</v>
      </c>
      <c r="Y136" s="137">
        <v>2044</v>
      </c>
      <c r="Z136" s="137">
        <v>2045</v>
      </c>
      <c r="AA136" s="137">
        <v>2046</v>
      </c>
      <c r="AB136" s="137">
        <v>2047</v>
      </c>
      <c r="AC136" s="137">
        <v>2048</v>
      </c>
      <c r="AD136" s="137">
        <v>2049</v>
      </c>
      <c r="AE136" s="137">
        <v>2050</v>
      </c>
    </row>
    <row r="137" spans="2:31" x14ac:dyDescent="0.35">
      <c r="B137" s="104" t="s">
        <v>277</v>
      </c>
      <c r="C137" s="20" t="s">
        <v>225</v>
      </c>
      <c r="D137" s="27"/>
      <c r="E137" s="27" t="s">
        <v>289</v>
      </c>
      <c r="F137" s="23" t="s">
        <v>290</v>
      </c>
      <c r="G137" s="23" t="s">
        <v>134</v>
      </c>
      <c r="H137" s="38">
        <f t="shared" ref="H137:AE137" si="82">H18*H48</f>
        <v>0</v>
      </c>
      <c r="I137" s="38">
        <f t="shared" si="82"/>
        <v>0</v>
      </c>
      <c r="J137" s="38">
        <f t="shared" si="82"/>
        <v>0</v>
      </c>
      <c r="K137" s="38">
        <f t="shared" si="82"/>
        <v>0</v>
      </c>
      <c r="L137" s="38">
        <f t="shared" si="82"/>
        <v>0</v>
      </c>
      <c r="M137" s="38">
        <f t="shared" si="82"/>
        <v>0</v>
      </c>
      <c r="N137" s="38">
        <f t="shared" si="82"/>
        <v>0</v>
      </c>
      <c r="O137" s="38">
        <f t="shared" si="82"/>
        <v>0</v>
      </c>
      <c r="P137" s="38">
        <f t="shared" si="82"/>
        <v>0</v>
      </c>
      <c r="Q137" s="38">
        <f t="shared" si="82"/>
        <v>0</v>
      </c>
      <c r="R137" s="38">
        <f t="shared" si="82"/>
        <v>0</v>
      </c>
      <c r="S137" s="38">
        <f t="shared" si="82"/>
        <v>0</v>
      </c>
      <c r="T137" s="38">
        <f t="shared" si="82"/>
        <v>0</v>
      </c>
      <c r="U137" s="38">
        <f t="shared" si="82"/>
        <v>0</v>
      </c>
      <c r="V137" s="38">
        <f t="shared" si="82"/>
        <v>0</v>
      </c>
      <c r="W137" s="38">
        <f t="shared" si="82"/>
        <v>0</v>
      </c>
      <c r="X137" s="38">
        <f t="shared" si="82"/>
        <v>0</v>
      </c>
      <c r="Y137" s="38">
        <f t="shared" si="82"/>
        <v>0</v>
      </c>
      <c r="Z137" s="38">
        <f t="shared" si="82"/>
        <v>0</v>
      </c>
      <c r="AA137" s="38">
        <f t="shared" si="82"/>
        <v>0</v>
      </c>
      <c r="AB137" s="38">
        <f t="shared" si="82"/>
        <v>0</v>
      </c>
      <c r="AC137" s="38">
        <f t="shared" si="82"/>
        <v>46.061876559403032</v>
      </c>
      <c r="AD137" s="38">
        <f t="shared" si="82"/>
        <v>115.15469139850757</v>
      </c>
      <c r="AE137" s="38">
        <f t="shared" si="82"/>
        <v>184.24750623761184</v>
      </c>
    </row>
    <row r="138" spans="2:31" x14ac:dyDescent="0.35">
      <c r="B138" s="104" t="s">
        <v>265</v>
      </c>
      <c r="C138" s="20" t="s">
        <v>291</v>
      </c>
      <c r="D138" s="27"/>
      <c r="E138" s="27" t="s">
        <v>292</v>
      </c>
      <c r="F138" s="23" t="s">
        <v>293</v>
      </c>
      <c r="G138" s="23" t="s">
        <v>128</v>
      </c>
      <c r="H138" s="38">
        <f t="shared" ref="H138:AE138" si="83">H18*H49</f>
        <v>0</v>
      </c>
      <c r="I138" s="38">
        <f t="shared" si="83"/>
        <v>0</v>
      </c>
      <c r="J138" s="38">
        <f t="shared" si="83"/>
        <v>0</v>
      </c>
      <c r="K138" s="38">
        <f t="shared" si="83"/>
        <v>0</v>
      </c>
      <c r="L138" s="38">
        <f t="shared" si="83"/>
        <v>0</v>
      </c>
      <c r="M138" s="38">
        <f t="shared" si="83"/>
        <v>0</v>
      </c>
      <c r="N138" s="38">
        <f t="shared" si="83"/>
        <v>0</v>
      </c>
      <c r="O138" s="38">
        <f t="shared" si="83"/>
        <v>0</v>
      </c>
      <c r="P138" s="38">
        <f t="shared" si="83"/>
        <v>0</v>
      </c>
      <c r="Q138" s="38">
        <f t="shared" si="83"/>
        <v>0</v>
      </c>
      <c r="R138" s="38">
        <f t="shared" si="83"/>
        <v>0</v>
      </c>
      <c r="S138" s="38">
        <f t="shared" si="83"/>
        <v>0</v>
      </c>
      <c r="T138" s="38">
        <f t="shared" si="83"/>
        <v>0</v>
      </c>
      <c r="U138" s="38">
        <f t="shared" si="83"/>
        <v>0</v>
      </c>
      <c r="V138" s="38">
        <f t="shared" si="83"/>
        <v>0</v>
      </c>
      <c r="W138" s="38">
        <f t="shared" si="83"/>
        <v>0</v>
      </c>
      <c r="X138" s="38">
        <f t="shared" si="83"/>
        <v>0</v>
      </c>
      <c r="Y138" s="38">
        <f t="shared" si="83"/>
        <v>0</v>
      </c>
      <c r="Z138" s="38">
        <f t="shared" si="83"/>
        <v>0</v>
      </c>
      <c r="AA138" s="38">
        <f t="shared" si="83"/>
        <v>18.424750623761224</v>
      </c>
      <c r="AB138" s="38">
        <f t="shared" si="83"/>
        <v>59.880439527223942</v>
      </c>
      <c r="AC138" s="38">
        <f t="shared" si="83"/>
        <v>55.274251871283624</v>
      </c>
      <c r="AD138" s="38">
        <f t="shared" si="83"/>
        <v>27.637125935641816</v>
      </c>
      <c r="AE138" s="38">
        <f t="shared" si="83"/>
        <v>0</v>
      </c>
    </row>
    <row r="139" spans="2:31" x14ac:dyDescent="0.35">
      <c r="B139" s="104" t="s">
        <v>84</v>
      </c>
      <c r="C139" s="20" t="s">
        <v>205</v>
      </c>
      <c r="D139" s="27"/>
      <c r="E139" s="27" t="s">
        <v>206</v>
      </c>
      <c r="F139" s="23" t="s">
        <v>207</v>
      </c>
      <c r="G139" s="23" t="s">
        <v>208</v>
      </c>
      <c r="H139" s="38">
        <f t="shared" ref="H139:AE139" si="84">H50*H59</f>
        <v>-728.62787899785383</v>
      </c>
      <c r="I139" s="38">
        <f t="shared" si="84"/>
        <v>-744.11568792796072</v>
      </c>
      <c r="J139" s="38">
        <f t="shared" si="84"/>
        <v>-739.95581246472261</v>
      </c>
      <c r="K139" s="38">
        <f t="shared" si="84"/>
        <v>-741.9718269139338</v>
      </c>
      <c r="L139" s="38">
        <f t="shared" si="84"/>
        <v>-720.96155944066027</v>
      </c>
      <c r="M139" s="38">
        <f t="shared" si="84"/>
        <v>-692.38096173486758</v>
      </c>
      <c r="N139" s="38">
        <f t="shared" si="84"/>
        <v>-656.23003379655643</v>
      </c>
      <c r="O139" s="38">
        <f t="shared" si="84"/>
        <v>-619.5491063800448</v>
      </c>
      <c r="P139" s="38">
        <f t="shared" si="84"/>
        <v>-568.60162389635536</v>
      </c>
      <c r="Q139" s="38">
        <f t="shared" si="84"/>
        <v>-511.62951969887473</v>
      </c>
      <c r="R139" s="38">
        <f t="shared" si="84"/>
        <v>-447.22472763673915</v>
      </c>
      <c r="S139" s="38">
        <f t="shared" si="84"/>
        <v>-375.38724770994867</v>
      </c>
      <c r="T139" s="38">
        <f t="shared" si="84"/>
        <v>-296.11707991850324</v>
      </c>
      <c r="U139" s="38">
        <f t="shared" si="84"/>
        <v>-209.41422426240317</v>
      </c>
      <c r="V139" s="38">
        <f t="shared" si="84"/>
        <v>-177.1804721163262</v>
      </c>
      <c r="W139" s="38">
        <f t="shared" si="84"/>
        <v>-142.26269379690149</v>
      </c>
      <c r="X139" s="38">
        <f t="shared" si="84"/>
        <v>-104.66088930412926</v>
      </c>
      <c r="Y139" s="38">
        <f t="shared" si="84"/>
        <v>-64.375058638009349</v>
      </c>
      <c r="Z139" s="38">
        <f t="shared" si="84"/>
        <v>-21.405201798542066</v>
      </c>
      <c r="AA139" s="38">
        <f t="shared" si="84"/>
        <v>0</v>
      </c>
      <c r="AB139" s="38">
        <f t="shared" si="84"/>
        <v>0</v>
      </c>
      <c r="AC139" s="38">
        <f t="shared" si="84"/>
        <v>0</v>
      </c>
      <c r="AD139" s="38">
        <f t="shared" si="84"/>
        <v>0</v>
      </c>
      <c r="AE139" s="38">
        <f t="shared" si="84"/>
        <v>0</v>
      </c>
    </row>
    <row r="140" spans="2:31" x14ac:dyDescent="0.35">
      <c r="B140" s="104" t="s">
        <v>182</v>
      </c>
      <c r="C140" s="20" t="s">
        <v>185</v>
      </c>
      <c r="D140" s="27"/>
      <c r="E140" s="27"/>
      <c r="F140" s="23" t="s">
        <v>186</v>
      </c>
      <c r="G140" s="23" t="s">
        <v>187</v>
      </c>
      <c r="H140" s="38">
        <f>H46*Data!$F$7</f>
        <v>0.3838489713283581</v>
      </c>
      <c r="I140" s="38">
        <f>I46*Data!$F$7</f>
        <v>0.3838489713283581</v>
      </c>
      <c r="J140" s="38">
        <f>J46*Data!$F$7</f>
        <v>0.3838489713283581</v>
      </c>
      <c r="K140" s="38">
        <f>K46*Data!$F$7</f>
        <v>0.3838489713283581</v>
      </c>
      <c r="L140" s="38">
        <f>L46*Data!$F$7</f>
        <v>0.3838489713283581</v>
      </c>
      <c r="M140" s="38">
        <f>M46*Data!$F$7</f>
        <v>0.3838489713283581</v>
      </c>
      <c r="N140" s="38">
        <f>N46*Data!$F$7</f>
        <v>0.3838489713283581</v>
      </c>
      <c r="O140" s="38">
        <f>O46*Data!$F$7</f>
        <v>0.3838489713283581</v>
      </c>
      <c r="P140" s="38">
        <f>P46*Data!$F$7</f>
        <v>0.3838489713283581</v>
      </c>
      <c r="Q140" s="38">
        <f>Q46*Data!$F$7</f>
        <v>0.3838489713283581</v>
      </c>
      <c r="R140" s="38">
        <f>R46*Data!$F$7</f>
        <v>0.3838489713283581</v>
      </c>
      <c r="S140" s="38">
        <f>S46*Data!$F$7</f>
        <v>0.3838489713283581</v>
      </c>
      <c r="T140" s="38">
        <f>T46*Data!$F$7</f>
        <v>0.3838489713283581</v>
      </c>
      <c r="U140" s="38">
        <f>U46*Data!$F$7</f>
        <v>0.3838489713283581</v>
      </c>
      <c r="V140" s="38">
        <f>V46*Data!$F$7</f>
        <v>0.3838489713283581</v>
      </c>
      <c r="W140" s="38">
        <f>W46*Data!$F$7</f>
        <v>0.3838489713283581</v>
      </c>
      <c r="X140" s="38">
        <f>X46*Data!$F$7</f>
        <v>0.3838489713283581</v>
      </c>
      <c r="Y140" s="38">
        <f>Y46*Data!$F$7</f>
        <v>0.3838489713283581</v>
      </c>
      <c r="Z140" s="38">
        <f>Z46*Data!$F$7</f>
        <v>0.3838489713283581</v>
      </c>
      <c r="AA140" s="38">
        <f>AA46*Data!$F$7</f>
        <v>0.3838489713283581</v>
      </c>
      <c r="AB140" s="38">
        <f>AB46*Data!$F$7</f>
        <v>0.3838489713283581</v>
      </c>
      <c r="AC140" s="38">
        <f>AC46*Data!$F$7</f>
        <v>0.3838489713283581</v>
      </c>
      <c r="AD140" s="38">
        <f>AD46*Data!$F$7</f>
        <v>0.3838489713283581</v>
      </c>
      <c r="AE140" s="38">
        <f>AE46*Data!$F$7</f>
        <v>0.3838489713283581</v>
      </c>
    </row>
    <row r="141" spans="2:31" x14ac:dyDescent="0.35">
      <c r="C141" s="20" t="s">
        <v>188</v>
      </c>
      <c r="D141" s="27"/>
      <c r="E141" s="27" t="s">
        <v>189</v>
      </c>
      <c r="F141" s="23" t="s">
        <v>190</v>
      </c>
      <c r="G141" s="23" t="s">
        <v>191</v>
      </c>
      <c r="H141" s="38">
        <f t="shared" ref="H141:AE141" si="85">H140*H$16</f>
        <v>0</v>
      </c>
      <c r="I141" s="38">
        <f t="shared" si="85"/>
        <v>0</v>
      </c>
      <c r="J141" s="38">
        <f t="shared" si="85"/>
        <v>0</v>
      </c>
      <c r="K141" s="38">
        <f t="shared" si="85"/>
        <v>0</v>
      </c>
      <c r="L141" s="38">
        <f t="shared" si="85"/>
        <v>0</v>
      </c>
      <c r="M141" s="38">
        <f t="shared" si="85"/>
        <v>0</v>
      </c>
      <c r="N141" s="38">
        <f t="shared" si="85"/>
        <v>0</v>
      </c>
      <c r="O141" s="38">
        <f t="shared" si="85"/>
        <v>0</v>
      </c>
      <c r="P141" s="38">
        <f t="shared" si="85"/>
        <v>0</v>
      </c>
      <c r="Q141" s="38">
        <f t="shared" si="85"/>
        <v>0</v>
      </c>
      <c r="R141" s="38">
        <f t="shared" si="85"/>
        <v>0</v>
      </c>
      <c r="S141" s="38">
        <f t="shared" si="85"/>
        <v>0</v>
      </c>
      <c r="T141" s="38">
        <f t="shared" si="85"/>
        <v>0</v>
      </c>
      <c r="U141" s="38">
        <f t="shared" si="85"/>
        <v>0</v>
      </c>
      <c r="V141" s="38">
        <f t="shared" si="85"/>
        <v>0</v>
      </c>
      <c r="W141" s="38">
        <f t="shared" si="85"/>
        <v>0</v>
      </c>
      <c r="X141" s="38">
        <f t="shared" si="85"/>
        <v>0</v>
      </c>
      <c r="Y141" s="38">
        <f t="shared" si="85"/>
        <v>0</v>
      </c>
      <c r="Z141" s="38">
        <f t="shared" si="85"/>
        <v>0</v>
      </c>
      <c r="AA141" s="38">
        <f t="shared" si="85"/>
        <v>0</v>
      </c>
      <c r="AB141" s="38">
        <f t="shared" si="85"/>
        <v>0</v>
      </c>
      <c r="AC141" s="38">
        <f t="shared" si="85"/>
        <v>0</v>
      </c>
      <c r="AD141" s="38">
        <f t="shared" si="85"/>
        <v>0</v>
      </c>
      <c r="AE141" s="38">
        <f t="shared" si="85"/>
        <v>0</v>
      </c>
    </row>
    <row r="142" spans="2:31" x14ac:dyDescent="0.35">
      <c r="B142" s="99" t="s">
        <v>216</v>
      </c>
      <c r="C142" s="20" t="s">
        <v>217</v>
      </c>
      <c r="D142" s="27"/>
      <c r="E142" s="27"/>
      <c r="F142" s="23" t="s">
        <v>218</v>
      </c>
      <c r="G142" s="23" t="s">
        <v>98</v>
      </c>
      <c r="H142" s="38">
        <f t="shared" ref="H142:AE142" si="86">H46-H$23</f>
        <v>-84.880607910447793</v>
      </c>
      <c r="I142" s="38">
        <f t="shared" si="86"/>
        <v>-84.880607910447793</v>
      </c>
      <c r="J142" s="38">
        <f t="shared" si="86"/>
        <v>-84.880607910447793</v>
      </c>
      <c r="K142" s="38">
        <f t="shared" si="86"/>
        <v>-84.880607910447793</v>
      </c>
      <c r="L142" s="38">
        <f t="shared" si="86"/>
        <v>-84.880607910447793</v>
      </c>
      <c r="M142" s="38">
        <f t="shared" si="86"/>
        <v>-84.880607910447793</v>
      </c>
      <c r="N142" s="38">
        <f t="shared" si="86"/>
        <v>-84.880607910447793</v>
      </c>
      <c r="O142" s="38">
        <f t="shared" si="86"/>
        <v>-84.880607910447793</v>
      </c>
      <c r="P142" s="38">
        <f t="shared" si="86"/>
        <v>-84.880607910447793</v>
      </c>
      <c r="Q142" s="38">
        <f t="shared" si="86"/>
        <v>-84.880607910447793</v>
      </c>
      <c r="R142" s="38">
        <f t="shared" si="86"/>
        <v>-84.880607910447793</v>
      </c>
      <c r="S142" s="38">
        <f t="shared" si="86"/>
        <v>-84.880607910447793</v>
      </c>
      <c r="T142" s="38">
        <f t="shared" si="86"/>
        <v>-84.880607910447793</v>
      </c>
      <c r="U142" s="38">
        <f t="shared" si="86"/>
        <v>-84.880607910447793</v>
      </c>
      <c r="V142" s="38">
        <f t="shared" si="86"/>
        <v>-84.880607910447793</v>
      </c>
      <c r="W142" s="38">
        <f t="shared" si="86"/>
        <v>-84.880607910447793</v>
      </c>
      <c r="X142" s="38">
        <f t="shared" si="86"/>
        <v>-84.880607910447793</v>
      </c>
      <c r="Y142" s="38">
        <f t="shared" si="86"/>
        <v>-84.880607910447793</v>
      </c>
      <c r="Z142" s="38">
        <f t="shared" si="86"/>
        <v>-84.880607910447793</v>
      </c>
      <c r="AA142" s="38">
        <f t="shared" si="86"/>
        <v>-84.880607910447793</v>
      </c>
      <c r="AB142" s="38">
        <f t="shared" si="86"/>
        <v>-84.880607910447793</v>
      </c>
      <c r="AC142" s="38">
        <f t="shared" si="86"/>
        <v>-84.880607910447793</v>
      </c>
      <c r="AD142" s="38">
        <f t="shared" si="86"/>
        <v>-84.880607910447793</v>
      </c>
      <c r="AE142" s="38">
        <f t="shared" si="86"/>
        <v>-84.880607910447793</v>
      </c>
    </row>
    <row r="143" spans="2:31" x14ac:dyDescent="0.35">
      <c r="C143" s="20" t="s">
        <v>219</v>
      </c>
      <c r="D143" s="27"/>
      <c r="E143" s="27"/>
      <c r="F143" s="23" t="s">
        <v>220</v>
      </c>
      <c r="G143" s="23" t="s">
        <v>187</v>
      </c>
      <c r="H143" s="38">
        <f>H142*Data!$F$7</f>
        <v>-3.4546407419552252</v>
      </c>
      <c r="I143" s="38">
        <f>I142*Data!$F$7</f>
        <v>-3.4546407419552252</v>
      </c>
      <c r="J143" s="38">
        <f>J142*Data!$F$7</f>
        <v>-3.4546407419552252</v>
      </c>
      <c r="K143" s="38">
        <f>K142*Data!$F$7</f>
        <v>-3.4546407419552252</v>
      </c>
      <c r="L143" s="38">
        <f>L142*Data!$F$7</f>
        <v>-3.4546407419552252</v>
      </c>
      <c r="M143" s="38">
        <f>M142*Data!$F$7</f>
        <v>-3.4546407419552252</v>
      </c>
      <c r="N143" s="38">
        <f>N142*Data!$F$7</f>
        <v>-3.4546407419552252</v>
      </c>
      <c r="O143" s="38">
        <f>O142*Data!$F$7</f>
        <v>-3.4546407419552252</v>
      </c>
      <c r="P143" s="38">
        <f>P142*Data!$F$7</f>
        <v>-3.4546407419552252</v>
      </c>
      <c r="Q143" s="38">
        <f>Q142*Data!$F$7</f>
        <v>-3.4546407419552252</v>
      </c>
      <c r="R143" s="38">
        <f>R142*Data!$F$7</f>
        <v>-3.4546407419552252</v>
      </c>
      <c r="S143" s="38">
        <f>S142*Data!$F$7</f>
        <v>-3.4546407419552252</v>
      </c>
      <c r="T143" s="38">
        <f>T142*Data!$F$7</f>
        <v>-3.4546407419552252</v>
      </c>
      <c r="U143" s="38">
        <f>U142*Data!$F$7</f>
        <v>-3.4546407419552252</v>
      </c>
      <c r="V143" s="38">
        <f>V142*Data!$F$7</f>
        <v>-3.4546407419552252</v>
      </c>
      <c r="W143" s="38">
        <f>W142*Data!$F$7</f>
        <v>-3.4546407419552252</v>
      </c>
      <c r="X143" s="38">
        <f>X142*Data!$F$7</f>
        <v>-3.4546407419552252</v>
      </c>
      <c r="Y143" s="38">
        <f>Y142*Data!$F$7</f>
        <v>-3.4546407419552252</v>
      </c>
      <c r="Z143" s="38">
        <f>Z142*Data!$F$7</f>
        <v>-3.4546407419552252</v>
      </c>
      <c r="AA143" s="38">
        <f>AA142*Data!$F$7</f>
        <v>-3.4546407419552252</v>
      </c>
      <c r="AB143" s="38">
        <f>AB142*Data!$F$7</f>
        <v>-3.4546407419552252</v>
      </c>
      <c r="AC143" s="38">
        <f>AC142*Data!$F$7</f>
        <v>-3.4546407419552252</v>
      </c>
      <c r="AD143" s="38">
        <f>AD142*Data!$F$7</f>
        <v>-3.4546407419552252</v>
      </c>
      <c r="AE143" s="38">
        <f>AE142*Data!$F$7</f>
        <v>-3.4546407419552252</v>
      </c>
    </row>
    <row r="144" spans="2:31" x14ac:dyDescent="0.35">
      <c r="C144" s="20" t="s">
        <v>221</v>
      </c>
      <c r="D144" s="27"/>
      <c r="E144" s="27" t="s">
        <v>222</v>
      </c>
      <c r="F144" s="23" t="s">
        <v>223</v>
      </c>
      <c r="G144" s="23" t="s">
        <v>134</v>
      </c>
      <c r="H144" s="38">
        <f t="shared" ref="H144:AE144" si="87">H143*H$17</f>
        <v>-1381.8562967820901</v>
      </c>
      <c r="I144" s="38">
        <f t="shared" si="87"/>
        <v>-1381.8562967820901</v>
      </c>
      <c r="J144" s="38">
        <f t="shared" si="87"/>
        <v>-1381.8562967820901</v>
      </c>
      <c r="K144" s="38">
        <f t="shared" si="87"/>
        <v>-1209.1242596843288</v>
      </c>
      <c r="L144" s="38">
        <f t="shared" si="87"/>
        <v>-1036.3922225865676</v>
      </c>
      <c r="M144" s="38">
        <f t="shared" si="87"/>
        <v>-863.66018548880629</v>
      </c>
      <c r="N144" s="38">
        <f t="shared" si="87"/>
        <v>-690.92814839104506</v>
      </c>
      <c r="O144" s="38">
        <f t="shared" si="87"/>
        <v>-518.19611129328382</v>
      </c>
      <c r="P144" s="38">
        <f t="shared" si="87"/>
        <v>-345.46407419552253</v>
      </c>
      <c r="Q144" s="38">
        <f t="shared" si="87"/>
        <v>-293.64446306619413</v>
      </c>
      <c r="R144" s="38">
        <f t="shared" si="87"/>
        <v>-241.82485193686577</v>
      </c>
      <c r="S144" s="38">
        <f t="shared" si="87"/>
        <v>-190.00524080753738</v>
      </c>
      <c r="T144" s="38">
        <f t="shared" si="87"/>
        <v>-138.18562967820901</v>
      </c>
      <c r="U144" s="38">
        <f t="shared" si="87"/>
        <v>-86.366018548880632</v>
      </c>
      <c r="V144" s="38">
        <f t="shared" si="87"/>
        <v>-79.456737064970184</v>
      </c>
      <c r="W144" s="38">
        <f t="shared" si="87"/>
        <v>-72.547455581059722</v>
      </c>
      <c r="X144" s="38">
        <f t="shared" si="87"/>
        <v>-65.638174097149275</v>
      </c>
      <c r="Y144" s="38">
        <f t="shared" si="87"/>
        <v>-58.728892613238827</v>
      </c>
      <c r="Z144" s="38">
        <f t="shared" si="87"/>
        <v>-51.819611129328379</v>
      </c>
      <c r="AA144" s="38">
        <f t="shared" si="87"/>
        <v>-44.910329645417924</v>
      </c>
      <c r="AB144" s="38">
        <f t="shared" si="87"/>
        <v>-38.001048161507477</v>
      </c>
      <c r="AC144" s="38">
        <f t="shared" si="87"/>
        <v>-31.091766677597025</v>
      </c>
      <c r="AD144" s="38">
        <f t="shared" si="87"/>
        <v>-24.182485193686578</v>
      </c>
      <c r="AE144" s="38">
        <f t="shared" si="87"/>
        <v>-17.273203709776126</v>
      </c>
    </row>
    <row r="145" spans="2:31" x14ac:dyDescent="0.35">
      <c r="B145" s="99" t="s">
        <v>192</v>
      </c>
      <c r="C145" s="24" t="s">
        <v>79</v>
      </c>
      <c r="D145" s="105"/>
      <c r="E145" s="27" t="s">
        <v>193</v>
      </c>
      <c r="F145" s="23"/>
      <c r="G145" s="106" t="s">
        <v>134</v>
      </c>
      <c r="H145" s="145">
        <f>H51*Data!$F$7*1000</f>
        <v>1699.9999999999998</v>
      </c>
      <c r="I145" s="145">
        <f>I51*Data!$F$7*1000</f>
        <v>1699.9999999999998</v>
      </c>
      <c r="J145" s="145">
        <f>J51*Data!$F$7*1000</f>
        <v>1699.9999999999998</v>
      </c>
      <c r="K145" s="145">
        <f>K51*Data!$F$7*1000</f>
        <v>1699.9999999999998</v>
      </c>
      <c r="L145" s="145">
        <f>L51*Data!$F$7*1000</f>
        <v>1699.9999999999998</v>
      </c>
      <c r="M145" s="145">
        <f>M51*Data!$F$7*1000</f>
        <v>1699.9999999999998</v>
      </c>
      <c r="N145" s="145">
        <f>N51*Data!$F$7*1000</f>
        <v>1699.9999999999998</v>
      </c>
      <c r="O145" s="145">
        <f>O51*Data!$F$7*1000</f>
        <v>1699.9999999999998</v>
      </c>
      <c r="P145" s="145">
        <f>P51*Data!$F$7*1000</f>
        <v>1699.9999999999998</v>
      </c>
      <c r="Q145" s="145">
        <f>Q51*Data!$F$7*1000</f>
        <v>1699.9999999999998</v>
      </c>
      <c r="R145" s="145">
        <f>R51*Data!$F$7*1000</f>
        <v>1699.9999999999998</v>
      </c>
      <c r="S145" s="145">
        <f>S51*Data!$F$7*1000</f>
        <v>1699.9999999999998</v>
      </c>
      <c r="T145" s="145">
        <f>T51*Data!$F$7*1000</f>
        <v>1699.9999999999998</v>
      </c>
      <c r="U145" s="145">
        <f>U51*Data!$F$7*1000</f>
        <v>1699.9999999999998</v>
      </c>
      <c r="V145" s="145">
        <f>V51*Data!$F$7*1000</f>
        <v>1699.9999999999998</v>
      </c>
      <c r="W145" s="145">
        <f>W51*Data!$F$7*1000</f>
        <v>1699.9999999999998</v>
      </c>
      <c r="X145" s="145">
        <f>X51*Data!$F$7*1000</f>
        <v>1699.9999999999998</v>
      </c>
      <c r="Y145" s="145">
        <f>Y51*Data!$F$7*1000</f>
        <v>1699.9999999999998</v>
      </c>
      <c r="Z145" s="145">
        <f>Z51*Data!$F$7*1000</f>
        <v>1699.9999999999998</v>
      </c>
      <c r="AA145" s="145">
        <f>AA51*Data!$F$7*1000</f>
        <v>1699.9999999999998</v>
      </c>
      <c r="AB145" s="145">
        <f>AB51*Data!$F$7*1000</f>
        <v>1699.9999999999998</v>
      </c>
      <c r="AC145" s="145">
        <f>AC51*Data!$F$7*1000</f>
        <v>1699.9999999999998</v>
      </c>
      <c r="AD145" s="145">
        <f>AD51*Data!$F$7*1000</f>
        <v>1699.9999999999998</v>
      </c>
      <c r="AE145" s="145">
        <f>AE51*Data!$F$7*1000</f>
        <v>1699.9999999999998</v>
      </c>
    </row>
    <row r="146" spans="2:31" x14ac:dyDescent="0.35">
      <c r="C146" s="24" t="s">
        <v>302</v>
      </c>
      <c r="D146" s="105"/>
      <c r="E146" s="27" t="s">
        <v>294</v>
      </c>
      <c r="F146" s="23"/>
      <c r="G146" s="106" t="s">
        <v>134</v>
      </c>
      <c r="H146" s="145">
        <f t="shared" ref="H146:AE148" si="88">H137</f>
        <v>0</v>
      </c>
      <c r="I146" s="145">
        <f t="shared" si="88"/>
        <v>0</v>
      </c>
      <c r="J146" s="145">
        <f t="shared" si="88"/>
        <v>0</v>
      </c>
      <c r="K146" s="145">
        <f t="shared" si="88"/>
        <v>0</v>
      </c>
      <c r="L146" s="145">
        <f t="shared" si="88"/>
        <v>0</v>
      </c>
      <c r="M146" s="145">
        <f t="shared" si="88"/>
        <v>0</v>
      </c>
      <c r="N146" s="145">
        <f t="shared" si="88"/>
        <v>0</v>
      </c>
      <c r="O146" s="145">
        <f t="shared" si="88"/>
        <v>0</v>
      </c>
      <c r="P146" s="145">
        <f t="shared" si="88"/>
        <v>0</v>
      </c>
      <c r="Q146" s="145">
        <f t="shared" si="88"/>
        <v>0</v>
      </c>
      <c r="R146" s="145">
        <f t="shared" si="88"/>
        <v>0</v>
      </c>
      <c r="S146" s="145">
        <f t="shared" si="88"/>
        <v>0</v>
      </c>
      <c r="T146" s="145">
        <f t="shared" si="88"/>
        <v>0</v>
      </c>
      <c r="U146" s="145">
        <f t="shared" si="88"/>
        <v>0</v>
      </c>
      <c r="V146" s="145">
        <f t="shared" si="88"/>
        <v>0</v>
      </c>
      <c r="W146" s="145">
        <f t="shared" si="88"/>
        <v>0</v>
      </c>
      <c r="X146" s="145">
        <f t="shared" si="88"/>
        <v>0</v>
      </c>
      <c r="Y146" s="145">
        <f t="shared" si="88"/>
        <v>0</v>
      </c>
      <c r="Z146" s="145">
        <f t="shared" si="88"/>
        <v>0</v>
      </c>
      <c r="AA146" s="145">
        <f t="shared" si="88"/>
        <v>0</v>
      </c>
      <c r="AB146" s="145">
        <f t="shared" si="88"/>
        <v>0</v>
      </c>
      <c r="AC146" s="145">
        <f t="shared" si="88"/>
        <v>46.061876559403032</v>
      </c>
      <c r="AD146" s="145">
        <f t="shared" si="88"/>
        <v>115.15469139850757</v>
      </c>
      <c r="AE146" s="145">
        <f t="shared" si="88"/>
        <v>184.24750623761184</v>
      </c>
    </row>
    <row r="147" spans="2:31" x14ac:dyDescent="0.35">
      <c r="C147" s="24" t="s">
        <v>301</v>
      </c>
      <c r="D147" s="105"/>
      <c r="E147" s="27" t="s">
        <v>295</v>
      </c>
      <c r="F147" s="23"/>
      <c r="G147" s="106" t="s">
        <v>134</v>
      </c>
      <c r="H147" s="145">
        <f>H138</f>
        <v>0</v>
      </c>
      <c r="I147" s="145">
        <f t="shared" si="88"/>
        <v>0</v>
      </c>
      <c r="J147" s="145">
        <f t="shared" si="88"/>
        <v>0</v>
      </c>
      <c r="K147" s="145">
        <f t="shared" si="88"/>
        <v>0</v>
      </c>
      <c r="L147" s="145">
        <f t="shared" si="88"/>
        <v>0</v>
      </c>
      <c r="M147" s="145">
        <f t="shared" si="88"/>
        <v>0</v>
      </c>
      <c r="N147" s="145">
        <f t="shared" si="88"/>
        <v>0</v>
      </c>
      <c r="O147" s="145">
        <f t="shared" si="88"/>
        <v>0</v>
      </c>
      <c r="P147" s="145">
        <f t="shared" si="88"/>
        <v>0</v>
      </c>
      <c r="Q147" s="145">
        <f t="shared" si="88"/>
        <v>0</v>
      </c>
      <c r="R147" s="145">
        <f t="shared" si="88"/>
        <v>0</v>
      </c>
      <c r="S147" s="145">
        <f t="shared" si="88"/>
        <v>0</v>
      </c>
      <c r="T147" s="145">
        <f t="shared" si="88"/>
        <v>0</v>
      </c>
      <c r="U147" s="145">
        <f t="shared" si="88"/>
        <v>0</v>
      </c>
      <c r="V147" s="145">
        <f t="shared" si="88"/>
        <v>0</v>
      </c>
      <c r="W147" s="145">
        <f t="shared" si="88"/>
        <v>0</v>
      </c>
      <c r="X147" s="145">
        <f t="shared" si="88"/>
        <v>0</v>
      </c>
      <c r="Y147" s="145">
        <f t="shared" si="88"/>
        <v>0</v>
      </c>
      <c r="Z147" s="145">
        <f t="shared" si="88"/>
        <v>0</v>
      </c>
      <c r="AA147" s="145">
        <f t="shared" si="88"/>
        <v>18.424750623761224</v>
      </c>
      <c r="AB147" s="145">
        <f t="shared" si="88"/>
        <v>59.880439527223942</v>
      </c>
      <c r="AC147" s="145">
        <f t="shared" si="88"/>
        <v>55.274251871283624</v>
      </c>
      <c r="AD147" s="145">
        <f t="shared" si="88"/>
        <v>27.637125935641816</v>
      </c>
      <c r="AE147" s="145">
        <f t="shared" si="88"/>
        <v>0</v>
      </c>
    </row>
    <row r="148" spans="2:31" x14ac:dyDescent="0.35">
      <c r="C148" s="24" t="s">
        <v>84</v>
      </c>
      <c r="D148" s="105"/>
      <c r="E148" s="27"/>
      <c r="F148" s="23"/>
      <c r="G148" s="106" t="s">
        <v>134</v>
      </c>
      <c r="H148" s="145">
        <f>H139</f>
        <v>-728.62787899785383</v>
      </c>
      <c r="I148" s="145">
        <f t="shared" si="88"/>
        <v>-744.11568792796072</v>
      </c>
      <c r="J148" s="145">
        <f t="shared" si="88"/>
        <v>-739.95581246472261</v>
      </c>
      <c r="K148" s="145">
        <f t="shared" si="88"/>
        <v>-741.9718269139338</v>
      </c>
      <c r="L148" s="145">
        <f t="shared" si="88"/>
        <v>-720.96155944066027</v>
      </c>
      <c r="M148" s="145">
        <f t="shared" si="88"/>
        <v>-692.38096173486758</v>
      </c>
      <c r="N148" s="145">
        <f t="shared" si="88"/>
        <v>-656.23003379655643</v>
      </c>
      <c r="O148" s="145">
        <f t="shared" si="88"/>
        <v>-619.5491063800448</v>
      </c>
      <c r="P148" s="145">
        <f t="shared" si="88"/>
        <v>-568.60162389635536</v>
      </c>
      <c r="Q148" s="145">
        <f t="shared" si="88"/>
        <v>-511.62951969887473</v>
      </c>
      <c r="R148" s="145">
        <f t="shared" si="88"/>
        <v>-447.22472763673915</v>
      </c>
      <c r="S148" s="145">
        <f t="shared" si="88"/>
        <v>-375.38724770994867</v>
      </c>
      <c r="T148" s="145">
        <f t="shared" si="88"/>
        <v>-296.11707991850324</v>
      </c>
      <c r="U148" s="145">
        <f t="shared" si="88"/>
        <v>-209.41422426240317</v>
      </c>
      <c r="V148" s="145">
        <f t="shared" si="88"/>
        <v>-177.1804721163262</v>
      </c>
      <c r="W148" s="145">
        <f t="shared" si="88"/>
        <v>-142.26269379690149</v>
      </c>
      <c r="X148" s="145">
        <f t="shared" si="88"/>
        <v>-104.66088930412926</v>
      </c>
      <c r="Y148" s="145">
        <f t="shared" si="88"/>
        <v>-64.375058638009349</v>
      </c>
      <c r="Z148" s="145">
        <f t="shared" si="88"/>
        <v>-21.405201798542066</v>
      </c>
      <c r="AA148" s="145">
        <f t="shared" si="88"/>
        <v>0</v>
      </c>
      <c r="AB148" s="145">
        <f t="shared" si="88"/>
        <v>0</v>
      </c>
      <c r="AC148" s="145">
        <f t="shared" si="88"/>
        <v>0</v>
      </c>
      <c r="AD148" s="145">
        <f t="shared" si="88"/>
        <v>0</v>
      </c>
      <c r="AE148" s="145">
        <f t="shared" si="88"/>
        <v>0</v>
      </c>
    </row>
    <row r="149" spans="2:31" x14ac:dyDescent="0.35">
      <c r="C149" s="110" t="s">
        <v>87</v>
      </c>
      <c r="D149" s="111"/>
      <c r="E149" s="27"/>
      <c r="F149" s="23"/>
      <c r="G149" s="106" t="s">
        <v>134</v>
      </c>
      <c r="H149" s="145">
        <f>H144</f>
        <v>-1381.8562967820901</v>
      </c>
      <c r="I149" s="145">
        <f t="shared" ref="I149:AE149" si="89">I144</f>
        <v>-1381.8562967820901</v>
      </c>
      <c r="J149" s="145">
        <f t="shared" si="89"/>
        <v>-1381.8562967820901</v>
      </c>
      <c r="K149" s="145">
        <f t="shared" si="89"/>
        <v>-1209.1242596843288</v>
      </c>
      <c r="L149" s="145">
        <f t="shared" si="89"/>
        <v>-1036.3922225865676</v>
      </c>
      <c r="M149" s="145">
        <f t="shared" si="89"/>
        <v>-863.66018548880629</v>
      </c>
      <c r="N149" s="145">
        <f t="shared" si="89"/>
        <v>-690.92814839104506</v>
      </c>
      <c r="O149" s="145">
        <f t="shared" si="89"/>
        <v>-518.19611129328382</v>
      </c>
      <c r="P149" s="145">
        <f t="shared" si="89"/>
        <v>-345.46407419552253</v>
      </c>
      <c r="Q149" s="145">
        <f t="shared" si="89"/>
        <v>-293.64446306619413</v>
      </c>
      <c r="R149" s="145">
        <f t="shared" si="89"/>
        <v>-241.82485193686577</v>
      </c>
      <c r="S149" s="145">
        <f t="shared" si="89"/>
        <v>-190.00524080753738</v>
      </c>
      <c r="T149" s="145">
        <f t="shared" si="89"/>
        <v>-138.18562967820901</v>
      </c>
      <c r="U149" s="145">
        <f t="shared" si="89"/>
        <v>-86.366018548880632</v>
      </c>
      <c r="V149" s="145">
        <f t="shared" si="89"/>
        <v>-79.456737064970184</v>
      </c>
      <c r="W149" s="145">
        <f t="shared" si="89"/>
        <v>-72.547455581059722</v>
      </c>
      <c r="X149" s="145">
        <f t="shared" si="89"/>
        <v>-65.638174097149275</v>
      </c>
      <c r="Y149" s="145">
        <f t="shared" si="89"/>
        <v>-58.728892613238827</v>
      </c>
      <c r="Z149" s="145">
        <f t="shared" si="89"/>
        <v>-51.819611129328379</v>
      </c>
      <c r="AA149" s="145">
        <f t="shared" si="89"/>
        <v>-44.910329645417924</v>
      </c>
      <c r="AB149" s="145">
        <f t="shared" si="89"/>
        <v>-38.001048161507477</v>
      </c>
      <c r="AC149" s="145">
        <f t="shared" si="89"/>
        <v>-31.091766677597025</v>
      </c>
      <c r="AD149" s="145">
        <f t="shared" si="89"/>
        <v>-24.182485193686578</v>
      </c>
      <c r="AE149" s="145">
        <f t="shared" si="89"/>
        <v>-17.273203709776126</v>
      </c>
    </row>
    <row r="150" spans="2:31" ht="15" thickBot="1" x14ac:dyDescent="0.4">
      <c r="C150" s="112" t="s">
        <v>83</v>
      </c>
      <c r="D150" s="113"/>
      <c r="E150" s="114"/>
      <c r="F150" s="115"/>
      <c r="G150" s="109" t="s">
        <v>134</v>
      </c>
      <c r="H150" s="146">
        <f>H141</f>
        <v>0</v>
      </c>
      <c r="I150" s="146">
        <f t="shared" ref="I150:AE150" si="90">I141</f>
        <v>0</v>
      </c>
      <c r="J150" s="146">
        <f t="shared" si="90"/>
        <v>0</v>
      </c>
      <c r="K150" s="146">
        <f t="shared" si="90"/>
        <v>0</v>
      </c>
      <c r="L150" s="146">
        <f t="shared" si="90"/>
        <v>0</v>
      </c>
      <c r="M150" s="146">
        <f t="shared" si="90"/>
        <v>0</v>
      </c>
      <c r="N150" s="146">
        <f t="shared" si="90"/>
        <v>0</v>
      </c>
      <c r="O150" s="146">
        <f t="shared" si="90"/>
        <v>0</v>
      </c>
      <c r="P150" s="146">
        <f t="shared" si="90"/>
        <v>0</v>
      </c>
      <c r="Q150" s="146">
        <f t="shared" si="90"/>
        <v>0</v>
      </c>
      <c r="R150" s="146">
        <f t="shared" si="90"/>
        <v>0</v>
      </c>
      <c r="S150" s="146">
        <f t="shared" si="90"/>
        <v>0</v>
      </c>
      <c r="T150" s="146">
        <f t="shared" si="90"/>
        <v>0</v>
      </c>
      <c r="U150" s="146">
        <f t="shared" si="90"/>
        <v>0</v>
      </c>
      <c r="V150" s="146">
        <f t="shared" si="90"/>
        <v>0</v>
      </c>
      <c r="W150" s="146">
        <f t="shared" si="90"/>
        <v>0</v>
      </c>
      <c r="X150" s="146">
        <f t="shared" si="90"/>
        <v>0</v>
      </c>
      <c r="Y150" s="146">
        <f t="shared" si="90"/>
        <v>0</v>
      </c>
      <c r="Z150" s="146">
        <f t="shared" si="90"/>
        <v>0</v>
      </c>
      <c r="AA150" s="146">
        <f t="shared" si="90"/>
        <v>0</v>
      </c>
      <c r="AB150" s="146">
        <f t="shared" si="90"/>
        <v>0</v>
      </c>
      <c r="AC150" s="146">
        <f t="shared" si="90"/>
        <v>0</v>
      </c>
      <c r="AD150" s="146">
        <f t="shared" si="90"/>
        <v>0</v>
      </c>
      <c r="AE150" s="146">
        <f t="shared" si="90"/>
        <v>0</v>
      </c>
    </row>
    <row r="151" spans="2:31" ht="15" thickTop="1" x14ac:dyDescent="0.35">
      <c r="C151" s="110" t="s">
        <v>90</v>
      </c>
      <c r="E151" s="27"/>
      <c r="F151" s="23" t="s">
        <v>195</v>
      </c>
      <c r="G151" s="106" t="s">
        <v>134</v>
      </c>
      <c r="H151" s="145">
        <f>SUM(H145:H150)</f>
        <v>-410.48417577994417</v>
      </c>
      <c r="I151" s="145">
        <f t="shared" ref="I151:AE151" si="91">SUM(I145:I150)</f>
        <v>-425.97198471005106</v>
      </c>
      <c r="J151" s="145">
        <f t="shared" si="91"/>
        <v>-421.81210924681295</v>
      </c>
      <c r="K151" s="145">
        <f t="shared" si="91"/>
        <v>-251.09608659826279</v>
      </c>
      <c r="L151" s="145">
        <f t="shared" si="91"/>
        <v>-57.353782027228135</v>
      </c>
      <c r="M151" s="145">
        <f t="shared" si="91"/>
        <v>143.9588527763259</v>
      </c>
      <c r="N151" s="145">
        <f t="shared" si="91"/>
        <v>352.84181781239829</v>
      </c>
      <c r="O151" s="145">
        <f t="shared" si="91"/>
        <v>562.25478232667115</v>
      </c>
      <c r="P151" s="145">
        <f t="shared" si="91"/>
        <v>785.93430190812182</v>
      </c>
      <c r="Q151" s="145">
        <f t="shared" si="91"/>
        <v>894.72601723493096</v>
      </c>
      <c r="R151" s="145">
        <f t="shared" si="91"/>
        <v>1010.9504204263949</v>
      </c>
      <c r="S151" s="145">
        <f t="shared" si="91"/>
        <v>1134.6075114825137</v>
      </c>
      <c r="T151" s="145">
        <f t="shared" si="91"/>
        <v>1265.6972904032878</v>
      </c>
      <c r="U151" s="145">
        <f t="shared" si="91"/>
        <v>1404.2197571887159</v>
      </c>
      <c r="V151" s="145">
        <f t="shared" si="91"/>
        <v>1443.3627908187034</v>
      </c>
      <c r="W151" s="145">
        <f t="shared" si="91"/>
        <v>1485.1898506220386</v>
      </c>
      <c r="X151" s="145">
        <f t="shared" si="91"/>
        <v>1529.7009365987212</v>
      </c>
      <c r="Y151" s="145">
        <f t="shared" si="91"/>
        <v>1576.8960487487516</v>
      </c>
      <c r="Z151" s="145">
        <f t="shared" si="91"/>
        <v>1626.7751870721293</v>
      </c>
      <c r="AA151" s="145">
        <f t="shared" si="91"/>
        <v>1673.514420978343</v>
      </c>
      <c r="AB151" s="145">
        <f t="shared" si="91"/>
        <v>1721.8793913657162</v>
      </c>
      <c r="AC151" s="145">
        <f t="shared" si="91"/>
        <v>1770.2443617530896</v>
      </c>
      <c r="AD151" s="145">
        <f t="shared" si="91"/>
        <v>1818.6093321404626</v>
      </c>
      <c r="AE151" s="145">
        <f t="shared" si="91"/>
        <v>1866.9743025278353</v>
      </c>
    </row>
    <row r="152" spans="2:31" x14ac:dyDescent="0.35">
      <c r="J152" s="95"/>
      <c r="K152" s="95"/>
      <c r="L152" s="95"/>
      <c r="M152" s="95"/>
    </row>
    <row r="153" spans="2:31" x14ac:dyDescent="0.35">
      <c r="J153" s="95"/>
      <c r="K153" s="95"/>
      <c r="L153" s="95"/>
      <c r="M153" s="95"/>
      <c r="N153" s="95"/>
      <c r="O153" s="95"/>
      <c r="P153" s="95"/>
      <c r="Q153" s="95"/>
      <c r="R153" s="95"/>
      <c r="S153" s="95"/>
      <c r="T153" s="95"/>
      <c r="U153" s="95"/>
      <c r="V153" s="95"/>
      <c r="W153" s="95"/>
      <c r="X153" s="95"/>
      <c r="Y153" s="95"/>
      <c r="Z153" s="95"/>
      <c r="AA153" s="95"/>
      <c r="AB153" s="95"/>
      <c r="AC153" s="95"/>
    </row>
    <row r="154" spans="2:31" x14ac:dyDescent="0.35">
      <c r="J154" s="95"/>
      <c r="K154" s="95"/>
      <c r="L154" s="95"/>
      <c r="M154" s="95"/>
      <c r="N154" s="95"/>
      <c r="O154" s="95"/>
      <c r="P154" s="95"/>
      <c r="Q154" s="95"/>
      <c r="R154" s="95"/>
      <c r="S154" s="95"/>
      <c r="T154" s="95"/>
      <c r="U154" s="95"/>
      <c r="V154" s="95"/>
      <c r="W154" s="95"/>
      <c r="X154" s="95"/>
      <c r="Y154" s="95"/>
      <c r="Z154" s="95"/>
      <c r="AA154" s="95"/>
      <c r="AB154" s="95"/>
      <c r="AC154" s="95"/>
    </row>
    <row r="155" spans="2:31" x14ac:dyDescent="0.35">
      <c r="J155" s="95"/>
      <c r="K155" s="95"/>
      <c r="L155" s="95"/>
      <c r="M155" s="95"/>
      <c r="N155" s="95"/>
      <c r="O155" s="95"/>
      <c r="P155" s="95"/>
      <c r="Q155" s="95"/>
      <c r="R155" s="95"/>
      <c r="S155" s="95"/>
      <c r="T155" s="95"/>
      <c r="U155" s="95"/>
      <c r="V155" s="95"/>
      <c r="W155" s="95"/>
      <c r="X155" s="95"/>
      <c r="Y155" s="95"/>
      <c r="Z155" s="95"/>
      <c r="AA155" s="95"/>
      <c r="AB155" s="95"/>
      <c r="AC155" s="95"/>
    </row>
    <row r="156" spans="2:31" x14ac:dyDescent="0.35">
      <c r="J156" s="95"/>
      <c r="K156" s="95"/>
      <c r="L156" s="95"/>
      <c r="M156" s="95"/>
      <c r="N156" s="95"/>
      <c r="O156" s="95"/>
      <c r="P156" s="95"/>
      <c r="Q156" s="95"/>
      <c r="R156" s="95"/>
      <c r="S156" s="95"/>
      <c r="T156" s="95"/>
      <c r="U156" s="95"/>
      <c r="V156" s="95"/>
      <c r="W156" s="95"/>
      <c r="X156" s="95"/>
      <c r="Y156" s="95"/>
      <c r="Z156" s="95"/>
      <c r="AA156" s="95"/>
      <c r="AB156" s="95"/>
      <c r="AC156" s="95"/>
    </row>
    <row r="157" spans="2:31" x14ac:dyDescent="0.35">
      <c r="J157" s="95"/>
      <c r="K157" s="95"/>
      <c r="L157" s="95"/>
      <c r="M157" s="95"/>
      <c r="N157" s="95"/>
      <c r="O157" s="95"/>
      <c r="P157" s="95"/>
      <c r="Q157" s="95"/>
      <c r="R157" s="95"/>
      <c r="S157" s="95"/>
      <c r="T157" s="95"/>
      <c r="U157" s="95"/>
      <c r="V157" s="95"/>
      <c r="W157" s="95"/>
      <c r="X157" s="95"/>
      <c r="Y157" s="95"/>
      <c r="Z157" s="95"/>
      <c r="AA157" s="95"/>
      <c r="AB157" s="95"/>
      <c r="AC157" s="95"/>
    </row>
    <row r="158" spans="2:31" x14ac:dyDescent="0.35">
      <c r="J158" s="95"/>
      <c r="K158" s="95"/>
      <c r="L158" s="95"/>
      <c r="M158" s="95"/>
      <c r="N158" s="95"/>
      <c r="O158" s="95"/>
      <c r="P158" s="95"/>
      <c r="Q158" s="95"/>
      <c r="R158" s="95"/>
      <c r="S158" s="95"/>
      <c r="T158" s="95"/>
      <c r="U158" s="95"/>
      <c r="V158" s="95"/>
      <c r="W158" s="95"/>
      <c r="X158" s="95"/>
      <c r="Y158" s="95"/>
      <c r="Z158" s="95"/>
      <c r="AA158" s="95"/>
      <c r="AB158" s="95"/>
      <c r="AC158" s="95"/>
    </row>
    <row r="159" spans="2:31" x14ac:dyDescent="0.35">
      <c r="J159" s="95"/>
      <c r="K159" s="95"/>
      <c r="L159" s="95"/>
      <c r="M159" s="95"/>
      <c r="N159" s="95"/>
      <c r="O159" s="95"/>
      <c r="P159" s="95"/>
      <c r="Q159" s="95"/>
      <c r="R159" s="95"/>
      <c r="S159" s="95"/>
      <c r="T159" s="95"/>
      <c r="U159" s="95"/>
      <c r="V159" s="95"/>
      <c r="W159" s="95"/>
      <c r="X159" s="95"/>
      <c r="Y159" s="95"/>
      <c r="Z159" s="95"/>
      <c r="AA159" s="95"/>
      <c r="AB159" s="95"/>
      <c r="AC159" s="95"/>
    </row>
    <row r="160" spans="2:31" x14ac:dyDescent="0.35">
      <c r="J160" s="95"/>
      <c r="K160" s="95"/>
      <c r="L160" s="95"/>
      <c r="M160" s="95"/>
      <c r="N160" s="95"/>
      <c r="O160" s="95"/>
      <c r="P160" s="95"/>
      <c r="Q160" s="95"/>
      <c r="R160" s="95"/>
      <c r="S160" s="95"/>
      <c r="T160" s="95"/>
      <c r="U160" s="95"/>
      <c r="V160" s="95"/>
      <c r="W160" s="95"/>
      <c r="X160" s="95"/>
      <c r="Y160" s="95"/>
      <c r="Z160" s="95"/>
      <c r="AA160" s="95"/>
      <c r="AB160" s="95"/>
      <c r="AC160" s="95"/>
    </row>
    <row r="161" spans="10:29" x14ac:dyDescent="0.35">
      <c r="J161" s="95"/>
      <c r="K161" s="95"/>
      <c r="L161" s="95"/>
      <c r="M161" s="95"/>
      <c r="N161" s="95"/>
      <c r="O161" s="95"/>
      <c r="P161" s="95"/>
      <c r="Q161" s="95"/>
      <c r="R161" s="95"/>
      <c r="S161" s="95"/>
      <c r="T161" s="95"/>
      <c r="U161" s="95"/>
      <c r="V161" s="95"/>
      <c r="W161" s="95"/>
      <c r="X161" s="95"/>
      <c r="Y161" s="95"/>
      <c r="Z161" s="95"/>
      <c r="AA161" s="95"/>
      <c r="AB161" s="95"/>
      <c r="AC161" s="95"/>
    </row>
    <row r="162" spans="10:29" x14ac:dyDescent="0.35">
      <c r="J162" s="95"/>
      <c r="K162" s="95"/>
      <c r="L162" s="95"/>
      <c r="M162" s="95"/>
      <c r="N162" s="95"/>
      <c r="O162" s="95"/>
      <c r="P162" s="95"/>
      <c r="Q162" s="95"/>
      <c r="R162" s="95"/>
      <c r="S162" s="95"/>
      <c r="T162" s="95"/>
      <c r="U162" s="95"/>
      <c r="V162" s="95"/>
      <c r="W162" s="95"/>
      <c r="X162" s="95"/>
      <c r="Y162" s="95"/>
      <c r="Z162" s="95"/>
      <c r="AA162" s="95"/>
      <c r="AB162" s="95"/>
      <c r="AC162" s="95"/>
    </row>
    <row r="163" spans="10:29" x14ac:dyDescent="0.35">
      <c r="J163" s="95"/>
      <c r="K163" s="95"/>
      <c r="L163" s="95"/>
      <c r="M163" s="95"/>
      <c r="N163" s="95"/>
      <c r="O163" s="95"/>
      <c r="P163" s="95"/>
      <c r="Q163" s="95"/>
      <c r="R163" s="95"/>
      <c r="S163" s="95"/>
      <c r="T163" s="95"/>
      <c r="U163" s="95"/>
      <c r="V163" s="95"/>
      <c r="W163" s="95"/>
      <c r="X163" s="95"/>
      <c r="Y163" s="95"/>
      <c r="Z163" s="95"/>
      <c r="AA163" s="95"/>
      <c r="AB163" s="95"/>
      <c r="AC163" s="95"/>
    </row>
    <row r="164" spans="10:29" x14ac:dyDescent="0.35">
      <c r="J164" s="95"/>
      <c r="K164" s="95"/>
      <c r="L164" s="95"/>
      <c r="M164" s="95"/>
      <c r="N164" s="95"/>
      <c r="O164" s="95"/>
      <c r="P164" s="95"/>
      <c r="Q164" s="95"/>
      <c r="R164" s="95"/>
      <c r="S164" s="95"/>
      <c r="T164" s="95"/>
      <c r="U164" s="95"/>
      <c r="V164" s="95"/>
      <c r="W164" s="95"/>
      <c r="X164" s="95"/>
      <c r="Y164" s="95"/>
      <c r="Z164" s="95"/>
      <c r="AA164" s="95"/>
      <c r="AB164" s="95"/>
      <c r="AC164" s="95"/>
    </row>
    <row r="165" spans="10:29" x14ac:dyDescent="0.35">
      <c r="J165" s="95"/>
      <c r="K165" s="95"/>
      <c r="L165" s="95"/>
      <c r="M165" s="95"/>
      <c r="N165" s="95"/>
      <c r="O165" s="95"/>
      <c r="P165" s="95"/>
      <c r="Q165" s="95"/>
      <c r="R165" s="95"/>
      <c r="S165" s="95"/>
      <c r="T165" s="95"/>
      <c r="U165" s="95"/>
      <c r="V165" s="95"/>
      <c r="W165" s="95"/>
      <c r="X165" s="95"/>
      <c r="Y165" s="95"/>
      <c r="Z165" s="95"/>
      <c r="AA165" s="95"/>
      <c r="AB165" s="95"/>
      <c r="AC165" s="95"/>
    </row>
    <row r="166" spans="10:29" x14ac:dyDescent="0.35">
      <c r="J166" s="95"/>
      <c r="K166" s="95"/>
      <c r="L166" s="95"/>
      <c r="M166" s="95"/>
      <c r="N166" s="95"/>
      <c r="O166" s="95"/>
      <c r="P166" s="95"/>
      <c r="Q166" s="95"/>
      <c r="R166" s="95"/>
      <c r="S166" s="95"/>
      <c r="T166" s="95"/>
      <c r="U166" s="95"/>
      <c r="V166" s="95"/>
      <c r="W166" s="95"/>
      <c r="X166" s="95"/>
      <c r="Y166" s="95"/>
      <c r="Z166" s="95"/>
      <c r="AA166" s="95"/>
      <c r="AB166" s="95"/>
      <c r="AC166" s="95"/>
    </row>
    <row r="167" spans="10:29" x14ac:dyDescent="0.35">
      <c r="J167" s="95"/>
      <c r="K167" s="95"/>
      <c r="L167" s="95"/>
      <c r="M167" s="95"/>
      <c r="N167" s="95"/>
      <c r="O167" s="95"/>
      <c r="P167" s="95"/>
      <c r="Q167" s="95"/>
      <c r="R167" s="95"/>
      <c r="S167" s="95"/>
      <c r="T167" s="95"/>
      <c r="U167" s="95"/>
      <c r="V167" s="95"/>
      <c r="W167" s="95"/>
      <c r="X167" s="95"/>
      <c r="Y167" s="95"/>
      <c r="Z167" s="95"/>
      <c r="AA167" s="95"/>
      <c r="AB167" s="95"/>
      <c r="AC167" s="95"/>
    </row>
    <row r="168" spans="10:29" x14ac:dyDescent="0.35">
      <c r="J168" s="95"/>
      <c r="K168" s="95"/>
      <c r="L168" s="95"/>
      <c r="M168" s="95"/>
      <c r="N168" s="95"/>
      <c r="O168" s="95"/>
      <c r="P168" s="95"/>
      <c r="Q168" s="95"/>
      <c r="R168" s="95"/>
      <c r="S168" s="95"/>
      <c r="T168" s="95"/>
      <c r="U168" s="95"/>
      <c r="V168" s="95"/>
      <c r="W168" s="95"/>
      <c r="X168" s="95"/>
      <c r="Y168" s="95"/>
      <c r="Z168" s="95"/>
      <c r="AA168" s="95"/>
      <c r="AB168" s="95"/>
      <c r="AC168" s="95"/>
    </row>
    <row r="169" spans="10:29" x14ac:dyDescent="0.35">
      <c r="J169" s="95"/>
      <c r="K169" s="95"/>
      <c r="L169" s="95"/>
      <c r="M169" s="95"/>
      <c r="N169" s="95"/>
      <c r="O169" s="95"/>
      <c r="P169" s="95"/>
      <c r="Q169" s="95"/>
      <c r="R169" s="95"/>
      <c r="S169" s="95"/>
      <c r="T169" s="95"/>
      <c r="U169" s="95"/>
      <c r="V169" s="95"/>
      <c r="W169" s="95"/>
      <c r="X169" s="95"/>
      <c r="Y169" s="95"/>
      <c r="Z169" s="95"/>
      <c r="AA169" s="95"/>
      <c r="AB169" s="95"/>
      <c r="AC169" s="95"/>
    </row>
    <row r="170" spans="10:29" x14ac:dyDescent="0.35">
      <c r="J170" s="95"/>
      <c r="K170" s="95"/>
      <c r="L170" s="95"/>
      <c r="M170" s="95"/>
      <c r="N170" s="95"/>
      <c r="O170" s="95"/>
      <c r="P170" s="95"/>
      <c r="Q170" s="95"/>
      <c r="R170" s="95"/>
      <c r="S170" s="95"/>
      <c r="T170" s="95"/>
      <c r="U170" s="95"/>
      <c r="V170" s="95"/>
      <c r="W170" s="95"/>
      <c r="X170" s="95"/>
      <c r="Y170" s="95"/>
      <c r="Z170" s="95"/>
      <c r="AA170" s="95"/>
      <c r="AB170" s="95"/>
      <c r="AC170" s="95"/>
    </row>
    <row r="171" spans="10:29" x14ac:dyDescent="0.35">
      <c r="J171" s="95"/>
      <c r="K171" s="95"/>
      <c r="L171" s="95"/>
      <c r="M171" s="95"/>
      <c r="N171" s="95"/>
      <c r="O171" s="95"/>
      <c r="P171" s="95"/>
      <c r="Q171" s="95"/>
      <c r="R171" s="95"/>
      <c r="S171" s="95"/>
      <c r="T171" s="95"/>
      <c r="U171" s="95"/>
      <c r="V171" s="95"/>
      <c r="W171" s="95"/>
      <c r="X171" s="95"/>
      <c r="Y171" s="95"/>
      <c r="Z171" s="95"/>
      <c r="AA171" s="95"/>
      <c r="AB171" s="95"/>
      <c r="AC171" s="95"/>
    </row>
    <row r="172" spans="10:29" x14ac:dyDescent="0.35">
      <c r="J172" s="95"/>
      <c r="K172" s="95"/>
      <c r="L172" s="95"/>
      <c r="M172" s="95"/>
      <c r="N172" s="95"/>
      <c r="O172" s="95"/>
      <c r="P172" s="95"/>
      <c r="Q172" s="95"/>
      <c r="R172" s="95"/>
      <c r="S172" s="95"/>
      <c r="T172" s="95"/>
      <c r="U172" s="95"/>
      <c r="V172" s="95"/>
      <c r="W172" s="95"/>
      <c r="X172" s="95"/>
      <c r="Y172" s="95"/>
      <c r="Z172" s="95"/>
      <c r="AA172" s="95"/>
      <c r="AB172" s="95"/>
      <c r="AC172" s="95"/>
    </row>
    <row r="173" spans="10:29" x14ac:dyDescent="0.35">
      <c r="J173" s="95"/>
      <c r="K173" s="95"/>
      <c r="L173" s="95"/>
      <c r="M173" s="95"/>
      <c r="N173" s="95"/>
      <c r="O173" s="95"/>
      <c r="P173" s="95"/>
      <c r="Q173" s="95"/>
      <c r="R173" s="95"/>
      <c r="S173" s="95"/>
      <c r="T173" s="95"/>
      <c r="U173" s="95"/>
      <c r="V173" s="95"/>
      <c r="W173" s="95"/>
      <c r="X173" s="95"/>
      <c r="Y173" s="95"/>
      <c r="Z173" s="95"/>
      <c r="AA173" s="95"/>
      <c r="AB173" s="95"/>
      <c r="AC173" s="95"/>
    </row>
    <row r="174" spans="10:29" x14ac:dyDescent="0.35">
      <c r="J174" s="95"/>
      <c r="K174" s="95"/>
      <c r="L174" s="95"/>
      <c r="M174" s="95"/>
      <c r="N174" s="95"/>
      <c r="O174" s="95"/>
      <c r="P174" s="95"/>
      <c r="Q174" s="95"/>
      <c r="R174" s="95"/>
      <c r="S174" s="95"/>
      <c r="T174" s="95"/>
      <c r="U174" s="95"/>
      <c r="V174" s="95"/>
      <c r="W174" s="95"/>
      <c r="X174" s="95"/>
      <c r="Y174" s="95"/>
      <c r="Z174" s="95"/>
      <c r="AA174" s="95"/>
      <c r="AB174" s="95"/>
      <c r="AC174" s="95"/>
    </row>
    <row r="175" spans="10:29" x14ac:dyDescent="0.35">
      <c r="J175" s="95"/>
      <c r="K175" s="95"/>
      <c r="L175" s="95"/>
      <c r="M175" s="95"/>
      <c r="N175" s="95"/>
      <c r="O175" s="95"/>
      <c r="P175" s="95"/>
      <c r="Q175" s="95"/>
      <c r="R175" s="95"/>
      <c r="S175" s="95"/>
      <c r="T175" s="95"/>
      <c r="U175" s="95"/>
      <c r="V175" s="95"/>
      <c r="W175" s="95"/>
      <c r="X175" s="95"/>
      <c r="Y175" s="95"/>
      <c r="Z175" s="95"/>
      <c r="AA175" s="95"/>
      <c r="AB175" s="95"/>
      <c r="AC175" s="95"/>
    </row>
    <row r="176" spans="10:29" x14ac:dyDescent="0.35">
      <c r="J176" s="95"/>
      <c r="K176" s="95"/>
      <c r="L176" s="95"/>
      <c r="M176" s="95"/>
      <c r="N176" s="95"/>
      <c r="O176" s="95"/>
      <c r="P176" s="95"/>
      <c r="Q176" s="95"/>
      <c r="R176" s="95"/>
      <c r="S176" s="95"/>
      <c r="T176" s="95"/>
      <c r="U176" s="95"/>
      <c r="V176" s="95"/>
      <c r="W176" s="95"/>
      <c r="X176" s="95"/>
      <c r="Y176" s="95"/>
      <c r="Z176" s="95"/>
      <c r="AA176" s="95"/>
      <c r="AB176" s="95"/>
      <c r="AC176" s="95"/>
    </row>
    <row r="177" spans="10:29" x14ac:dyDescent="0.35">
      <c r="J177" s="95"/>
      <c r="K177" s="95"/>
      <c r="L177" s="95"/>
      <c r="M177" s="95"/>
      <c r="N177" s="95"/>
      <c r="O177" s="95"/>
      <c r="P177" s="95"/>
      <c r="Q177" s="95"/>
      <c r="R177" s="95"/>
      <c r="S177" s="95"/>
      <c r="T177" s="95"/>
      <c r="U177" s="95"/>
      <c r="V177" s="95"/>
      <c r="W177" s="95"/>
      <c r="X177" s="95"/>
      <c r="Y177" s="95"/>
      <c r="Z177" s="95"/>
      <c r="AA177" s="95"/>
      <c r="AB177" s="95"/>
      <c r="AC177" s="95"/>
    </row>
    <row r="178" spans="10:29" x14ac:dyDescent="0.35">
      <c r="J178" s="95"/>
      <c r="K178" s="95"/>
      <c r="L178" s="95"/>
      <c r="M178" s="95"/>
      <c r="N178" s="95"/>
      <c r="O178" s="95"/>
      <c r="P178" s="95"/>
      <c r="Q178" s="95"/>
      <c r="R178" s="95"/>
      <c r="S178" s="95"/>
      <c r="T178" s="95"/>
      <c r="U178" s="95"/>
      <c r="V178" s="95"/>
      <c r="W178" s="95"/>
      <c r="X178" s="95"/>
      <c r="Y178" s="95"/>
      <c r="Z178" s="95"/>
      <c r="AA178" s="95"/>
      <c r="AB178" s="95"/>
      <c r="AC178" s="95"/>
    </row>
    <row r="179" spans="10:29" x14ac:dyDescent="0.35">
      <c r="J179" s="95"/>
      <c r="K179" s="95"/>
      <c r="L179" s="95"/>
      <c r="M179" s="95"/>
      <c r="N179" s="95"/>
      <c r="O179" s="95"/>
      <c r="P179" s="95"/>
      <c r="Q179" s="95"/>
      <c r="R179" s="95"/>
      <c r="S179" s="95"/>
      <c r="T179" s="95"/>
      <c r="U179" s="95"/>
      <c r="V179" s="95"/>
      <c r="W179" s="95"/>
      <c r="X179" s="95"/>
      <c r="Y179" s="95"/>
      <c r="Z179" s="95"/>
      <c r="AA179" s="95"/>
      <c r="AB179" s="95"/>
      <c r="AC179" s="95"/>
    </row>
    <row r="180" spans="10:29" x14ac:dyDescent="0.35">
      <c r="J180" s="95"/>
      <c r="K180" s="95"/>
      <c r="L180" s="95"/>
      <c r="M180" s="95"/>
      <c r="N180" s="95"/>
      <c r="O180" s="95"/>
      <c r="P180" s="95"/>
      <c r="Q180" s="95"/>
      <c r="R180" s="95"/>
      <c r="S180" s="95"/>
      <c r="T180" s="95"/>
      <c r="U180" s="95"/>
      <c r="V180" s="95"/>
      <c r="W180" s="95"/>
      <c r="X180" s="95"/>
      <c r="Y180" s="95"/>
      <c r="Z180" s="95"/>
      <c r="AA180" s="95"/>
      <c r="AB180" s="95"/>
      <c r="AC180" s="95"/>
    </row>
    <row r="181" spans="10:29" x14ac:dyDescent="0.35">
      <c r="J181" s="95"/>
      <c r="K181" s="95"/>
      <c r="L181" s="95"/>
      <c r="M181" s="95"/>
      <c r="N181" s="95"/>
      <c r="O181" s="95"/>
      <c r="P181" s="95"/>
      <c r="Q181" s="95"/>
      <c r="R181" s="95"/>
      <c r="S181" s="95"/>
      <c r="T181" s="95"/>
      <c r="U181" s="95"/>
      <c r="V181" s="95"/>
      <c r="W181" s="95"/>
      <c r="X181" s="95"/>
      <c r="Y181" s="95"/>
      <c r="Z181" s="95"/>
      <c r="AA181" s="95"/>
      <c r="AB181" s="95"/>
      <c r="AC181" s="95"/>
    </row>
    <row r="182" spans="10:29" x14ac:dyDescent="0.35">
      <c r="J182" s="95"/>
      <c r="K182" s="95"/>
      <c r="L182" s="95"/>
      <c r="M182" s="95"/>
      <c r="N182" s="95"/>
      <c r="O182" s="95"/>
      <c r="P182" s="95"/>
      <c r="Q182" s="95"/>
      <c r="R182" s="95"/>
      <c r="S182" s="95"/>
      <c r="T182" s="95"/>
      <c r="U182" s="95"/>
      <c r="V182" s="95"/>
      <c r="W182" s="95"/>
      <c r="X182" s="95"/>
      <c r="Y182" s="95"/>
      <c r="Z182" s="95"/>
      <c r="AA182" s="95"/>
      <c r="AB182" s="95"/>
      <c r="AC182" s="95"/>
    </row>
    <row r="183" spans="10:29" x14ac:dyDescent="0.35">
      <c r="J183" s="95"/>
      <c r="K183" s="95"/>
      <c r="L183" s="95"/>
      <c r="M183" s="95"/>
      <c r="N183" s="95"/>
      <c r="O183" s="95"/>
      <c r="P183" s="95"/>
      <c r="Q183" s="95"/>
      <c r="R183" s="95"/>
      <c r="S183" s="95"/>
      <c r="T183" s="95"/>
      <c r="U183" s="95"/>
      <c r="V183" s="95"/>
      <c r="W183" s="95"/>
      <c r="X183" s="95"/>
      <c r="Y183" s="95"/>
      <c r="Z183" s="95"/>
      <c r="AA183" s="95"/>
      <c r="AB183" s="95"/>
      <c r="AC183" s="95"/>
    </row>
    <row r="184" spans="10:29" x14ac:dyDescent="0.35">
      <c r="J184" s="95"/>
      <c r="K184" s="95"/>
      <c r="L184" s="95"/>
      <c r="M184" s="95"/>
      <c r="N184" s="95"/>
      <c r="O184" s="95"/>
      <c r="P184" s="95"/>
      <c r="Q184" s="95"/>
      <c r="R184" s="95"/>
      <c r="S184" s="95"/>
      <c r="T184" s="95"/>
      <c r="U184" s="95"/>
      <c r="V184" s="95"/>
      <c r="W184" s="95"/>
      <c r="X184" s="95"/>
      <c r="Y184" s="95"/>
      <c r="Z184" s="95"/>
      <c r="AA184" s="95"/>
      <c r="AB184" s="95"/>
      <c r="AC184" s="95"/>
    </row>
    <row r="185" spans="10:29" x14ac:dyDescent="0.35">
      <c r="J185" s="95"/>
      <c r="K185" s="95"/>
      <c r="L185" s="95"/>
      <c r="M185" s="95"/>
      <c r="N185" s="95"/>
      <c r="O185" s="95"/>
      <c r="P185" s="95"/>
      <c r="Q185" s="95"/>
      <c r="R185" s="95"/>
      <c r="S185" s="95"/>
      <c r="T185" s="95"/>
      <c r="U185" s="95"/>
      <c r="V185" s="95"/>
      <c r="W185" s="95"/>
      <c r="X185" s="95"/>
      <c r="Y185" s="95"/>
      <c r="Z185" s="95"/>
      <c r="AA185" s="95"/>
      <c r="AB185" s="95"/>
      <c r="AC185" s="95"/>
    </row>
    <row r="186" spans="10:29" x14ac:dyDescent="0.35">
      <c r="J186" s="95"/>
      <c r="K186" s="95"/>
      <c r="L186" s="95"/>
      <c r="M186" s="95"/>
      <c r="N186" s="95"/>
      <c r="O186" s="95"/>
      <c r="P186" s="95"/>
      <c r="Q186" s="95"/>
      <c r="R186" s="95"/>
      <c r="S186" s="95"/>
      <c r="T186" s="95"/>
      <c r="U186" s="95"/>
      <c r="V186" s="95"/>
      <c r="W186" s="95"/>
      <c r="X186" s="95"/>
      <c r="Y186" s="95"/>
      <c r="Z186" s="95"/>
      <c r="AA186" s="95"/>
      <c r="AB186" s="95"/>
      <c r="AC186" s="95"/>
    </row>
    <row r="187" spans="10:29" x14ac:dyDescent="0.35">
      <c r="J187" s="95"/>
      <c r="K187" s="95"/>
      <c r="L187" s="95"/>
      <c r="M187" s="95"/>
      <c r="N187" s="95"/>
      <c r="O187" s="95"/>
      <c r="P187" s="95"/>
      <c r="Q187" s="95"/>
      <c r="R187" s="95"/>
      <c r="S187" s="95"/>
      <c r="T187" s="95"/>
      <c r="U187" s="95"/>
      <c r="V187" s="95"/>
      <c r="W187" s="95"/>
      <c r="X187" s="95"/>
      <c r="Y187" s="95"/>
      <c r="Z187" s="95"/>
      <c r="AA187" s="95"/>
      <c r="AB187" s="95"/>
      <c r="AC187" s="95"/>
    </row>
    <row r="188" spans="10:29" x14ac:dyDescent="0.35">
      <c r="J188" s="95"/>
      <c r="K188" s="95"/>
      <c r="L188" s="95"/>
      <c r="M188" s="95"/>
      <c r="N188" s="95"/>
      <c r="O188" s="95"/>
      <c r="P188" s="95"/>
      <c r="Q188" s="95"/>
      <c r="R188" s="95"/>
      <c r="S188" s="95"/>
      <c r="T188" s="95"/>
      <c r="U188" s="95"/>
      <c r="V188" s="95"/>
      <c r="W188" s="95"/>
      <c r="X188" s="95"/>
      <c r="Y188" s="95"/>
      <c r="Z188" s="95"/>
      <c r="AA188" s="95"/>
      <c r="AB188" s="95"/>
      <c r="AC188" s="95"/>
    </row>
    <row r="189" spans="10:29" x14ac:dyDescent="0.35">
      <c r="J189" s="95"/>
      <c r="K189" s="95"/>
      <c r="L189" s="95"/>
      <c r="M189" s="95"/>
      <c r="N189" s="95"/>
      <c r="O189" s="95"/>
      <c r="P189" s="95"/>
      <c r="Q189" s="95"/>
      <c r="R189" s="95"/>
      <c r="S189" s="95"/>
      <c r="T189" s="95"/>
      <c r="U189" s="95"/>
      <c r="V189" s="95"/>
      <c r="W189" s="95"/>
      <c r="X189" s="95"/>
      <c r="Y189" s="95"/>
      <c r="Z189" s="95"/>
      <c r="AA189" s="95"/>
      <c r="AB189" s="95"/>
      <c r="AC189" s="95"/>
    </row>
    <row r="190" spans="10:29" x14ac:dyDescent="0.35">
      <c r="J190" s="95"/>
      <c r="K190" s="95"/>
      <c r="L190" s="95"/>
      <c r="M190" s="95"/>
      <c r="N190" s="95"/>
      <c r="O190" s="95"/>
      <c r="P190" s="95"/>
      <c r="Q190" s="95"/>
      <c r="R190" s="95"/>
      <c r="S190" s="95"/>
      <c r="T190" s="95"/>
      <c r="U190" s="95"/>
      <c r="V190" s="95"/>
      <c r="W190" s="95"/>
      <c r="X190" s="95"/>
      <c r="Y190" s="95"/>
      <c r="Z190" s="95"/>
      <c r="AA190" s="95"/>
      <c r="AB190" s="95"/>
      <c r="AC190" s="95"/>
    </row>
    <row r="191" spans="10:29" x14ac:dyDescent="0.35">
      <c r="J191" s="95"/>
      <c r="K191" s="95"/>
      <c r="L191" s="95"/>
      <c r="M191" s="95"/>
      <c r="N191" s="95"/>
      <c r="O191" s="95"/>
      <c r="P191" s="95"/>
      <c r="Q191" s="95"/>
      <c r="R191" s="95"/>
      <c r="S191" s="95"/>
      <c r="T191" s="95"/>
      <c r="U191" s="95"/>
      <c r="V191" s="95"/>
      <c r="W191" s="95"/>
      <c r="X191" s="95"/>
      <c r="Y191" s="95"/>
      <c r="Z191" s="95"/>
      <c r="AA191" s="95"/>
      <c r="AB191" s="95"/>
      <c r="AC191" s="95"/>
    </row>
    <row r="192" spans="10:29" x14ac:dyDescent="0.35">
      <c r="J192" s="95"/>
      <c r="K192" s="95"/>
      <c r="L192" s="95"/>
      <c r="M192" s="95"/>
      <c r="N192" s="95"/>
      <c r="O192" s="95"/>
      <c r="P192" s="95"/>
      <c r="Q192" s="95"/>
      <c r="R192" s="95"/>
      <c r="S192" s="95"/>
      <c r="T192" s="95"/>
      <c r="U192" s="95"/>
      <c r="V192" s="95"/>
      <c r="W192" s="95"/>
      <c r="X192" s="95"/>
      <c r="Y192" s="95"/>
      <c r="Z192" s="95"/>
      <c r="AA192" s="95"/>
      <c r="AB192" s="95"/>
      <c r="AC192" s="95"/>
    </row>
    <row r="193" spans="10:29" x14ac:dyDescent="0.35">
      <c r="J193" s="95"/>
      <c r="K193" s="95"/>
      <c r="L193" s="95"/>
      <c r="M193" s="95"/>
      <c r="N193" s="95"/>
      <c r="O193" s="95"/>
      <c r="P193" s="95"/>
      <c r="Q193" s="95"/>
      <c r="R193" s="95"/>
      <c r="S193" s="95"/>
      <c r="T193" s="95"/>
      <c r="U193" s="95"/>
      <c r="V193" s="95"/>
      <c r="W193" s="95"/>
      <c r="X193" s="95"/>
      <c r="Y193" s="95"/>
      <c r="Z193" s="95"/>
      <c r="AA193" s="95"/>
      <c r="AB193" s="95"/>
      <c r="AC193" s="95"/>
    </row>
    <row r="194" spans="10:29" x14ac:dyDescent="0.35">
      <c r="J194" s="95"/>
      <c r="K194" s="95"/>
      <c r="L194" s="95"/>
      <c r="M194" s="95"/>
      <c r="N194" s="95"/>
      <c r="O194" s="95"/>
      <c r="P194" s="95"/>
      <c r="Q194" s="95"/>
      <c r="R194" s="95"/>
      <c r="S194" s="95"/>
      <c r="T194" s="95"/>
      <c r="U194" s="95"/>
      <c r="V194" s="95"/>
      <c r="W194" s="95"/>
      <c r="X194" s="95"/>
      <c r="Y194" s="95"/>
      <c r="Z194" s="95"/>
      <c r="AA194" s="95"/>
      <c r="AB194" s="95"/>
      <c r="AC194" s="95"/>
    </row>
    <row r="195" spans="10:29" x14ac:dyDescent="0.35">
      <c r="J195" s="95"/>
      <c r="K195" s="95"/>
      <c r="L195" s="95"/>
      <c r="M195" s="95"/>
      <c r="N195" s="95"/>
      <c r="O195" s="95"/>
      <c r="P195" s="95"/>
      <c r="Q195" s="95"/>
      <c r="R195" s="95"/>
      <c r="S195" s="95"/>
      <c r="T195" s="95"/>
      <c r="U195" s="95"/>
      <c r="V195" s="95"/>
      <c r="W195" s="95"/>
      <c r="X195" s="95"/>
      <c r="Y195" s="95"/>
      <c r="Z195" s="95"/>
      <c r="AA195" s="95"/>
      <c r="AB195" s="95"/>
      <c r="AC195" s="95"/>
    </row>
    <row r="196" spans="10:29" x14ac:dyDescent="0.35">
      <c r="J196" s="95"/>
      <c r="K196" s="95"/>
      <c r="L196" s="95"/>
      <c r="M196" s="95"/>
      <c r="N196" s="95"/>
      <c r="O196" s="95"/>
      <c r="P196" s="95"/>
      <c r="Q196" s="95"/>
      <c r="R196" s="95"/>
      <c r="S196" s="95"/>
      <c r="T196" s="95"/>
      <c r="U196" s="95"/>
      <c r="V196" s="95"/>
      <c r="W196" s="95"/>
      <c r="X196" s="95"/>
      <c r="Y196" s="95"/>
      <c r="Z196" s="95"/>
      <c r="AA196" s="95"/>
      <c r="AB196" s="95"/>
      <c r="AC196" s="95"/>
    </row>
    <row r="197" spans="10:29" x14ac:dyDescent="0.35">
      <c r="J197" s="95"/>
      <c r="K197" s="95"/>
      <c r="L197" s="95"/>
      <c r="M197" s="95"/>
      <c r="N197" s="95"/>
      <c r="O197" s="95"/>
      <c r="P197" s="95"/>
      <c r="Q197" s="95"/>
      <c r="R197" s="95"/>
      <c r="S197" s="95"/>
      <c r="T197" s="95"/>
      <c r="U197" s="95"/>
      <c r="V197" s="95"/>
      <c r="W197" s="95"/>
      <c r="X197" s="95"/>
      <c r="Y197" s="95"/>
      <c r="Z197" s="95"/>
      <c r="AA197" s="95"/>
      <c r="AB197" s="95"/>
      <c r="AC197" s="95"/>
    </row>
    <row r="198" spans="10:29" x14ac:dyDescent="0.35">
      <c r="J198" s="95"/>
      <c r="K198" s="95"/>
      <c r="L198" s="95"/>
      <c r="M198" s="95"/>
      <c r="N198" s="95"/>
      <c r="O198" s="95"/>
      <c r="P198" s="95"/>
      <c r="Q198" s="95"/>
      <c r="R198" s="95"/>
      <c r="S198" s="95"/>
      <c r="T198" s="95"/>
      <c r="U198" s="95"/>
      <c r="V198" s="95"/>
      <c r="W198" s="95"/>
      <c r="X198" s="95"/>
      <c r="Y198" s="95"/>
      <c r="Z198" s="95"/>
      <c r="AA198" s="95"/>
      <c r="AB198" s="95"/>
      <c r="AC198" s="95"/>
    </row>
    <row r="199" spans="10:29" x14ac:dyDescent="0.35">
      <c r="J199" s="95"/>
      <c r="K199" s="95"/>
      <c r="L199" s="95"/>
      <c r="M199" s="95"/>
      <c r="N199" s="95"/>
      <c r="O199" s="95"/>
      <c r="P199" s="95"/>
      <c r="Q199" s="95"/>
      <c r="R199" s="95"/>
      <c r="S199" s="95"/>
      <c r="T199" s="95"/>
      <c r="U199" s="95"/>
      <c r="V199" s="95"/>
      <c r="W199" s="95"/>
      <c r="X199" s="95"/>
      <c r="Y199" s="95"/>
      <c r="Z199" s="95"/>
      <c r="AA199" s="95"/>
      <c r="AB199" s="95"/>
      <c r="AC199" s="95"/>
    </row>
    <row r="200" spans="10:29" x14ac:dyDescent="0.35">
      <c r="J200" s="95"/>
      <c r="K200" s="95"/>
      <c r="L200" s="95"/>
      <c r="M200" s="95"/>
      <c r="N200" s="95"/>
      <c r="O200" s="95"/>
      <c r="P200" s="95"/>
      <c r="Q200" s="95"/>
      <c r="R200" s="95"/>
      <c r="S200" s="95"/>
      <c r="T200" s="95"/>
      <c r="U200" s="95"/>
      <c r="V200" s="95"/>
      <c r="W200" s="95"/>
      <c r="X200" s="95"/>
      <c r="Y200" s="95"/>
      <c r="Z200" s="95"/>
      <c r="AA200" s="95"/>
      <c r="AB200" s="95"/>
      <c r="AC200" s="95"/>
    </row>
    <row r="201" spans="10:29" x14ac:dyDescent="0.35">
      <c r="J201" s="95"/>
      <c r="K201" s="95"/>
      <c r="L201" s="95"/>
      <c r="M201" s="95"/>
      <c r="N201" s="95"/>
      <c r="O201" s="95"/>
      <c r="P201" s="95"/>
      <c r="Q201" s="95"/>
      <c r="R201" s="95"/>
      <c r="S201" s="95"/>
      <c r="T201" s="95"/>
      <c r="U201" s="95"/>
      <c r="V201" s="95"/>
      <c r="W201" s="95"/>
      <c r="X201" s="95"/>
      <c r="Y201" s="95"/>
      <c r="Z201" s="95"/>
      <c r="AA201" s="95"/>
      <c r="AB201" s="95"/>
      <c r="AC201" s="95"/>
    </row>
    <row r="202" spans="10:29" x14ac:dyDescent="0.35">
      <c r="J202" s="95"/>
      <c r="K202" s="95"/>
      <c r="L202" s="95"/>
      <c r="M202" s="95"/>
      <c r="N202" s="95"/>
      <c r="O202" s="95"/>
      <c r="P202" s="95"/>
      <c r="Q202" s="95"/>
      <c r="R202" s="95"/>
      <c r="S202" s="95"/>
      <c r="T202" s="95"/>
      <c r="U202" s="95"/>
      <c r="V202" s="95"/>
      <c r="W202" s="95"/>
      <c r="X202" s="95"/>
      <c r="Y202" s="95"/>
      <c r="Z202" s="95"/>
      <c r="AA202" s="95"/>
      <c r="AB202" s="95"/>
      <c r="AC202" s="95"/>
    </row>
    <row r="203" spans="10:29" x14ac:dyDescent="0.35">
      <c r="J203" s="95"/>
      <c r="K203" s="95"/>
      <c r="L203" s="95"/>
      <c r="M203" s="95"/>
      <c r="N203" s="95"/>
      <c r="O203" s="95"/>
      <c r="P203" s="95"/>
      <c r="Q203" s="95"/>
      <c r="R203" s="95"/>
      <c r="S203" s="95"/>
      <c r="T203" s="95"/>
      <c r="U203" s="95"/>
      <c r="V203" s="95"/>
      <c r="W203" s="95"/>
      <c r="X203" s="95"/>
      <c r="Y203" s="95"/>
      <c r="Z203" s="95"/>
      <c r="AA203" s="95"/>
      <c r="AB203" s="95"/>
      <c r="AC203" s="95"/>
    </row>
    <row r="204" spans="10:29" x14ac:dyDescent="0.35">
      <c r="J204" s="95"/>
      <c r="K204" s="95"/>
      <c r="L204" s="95"/>
      <c r="M204" s="95"/>
      <c r="N204" s="95"/>
      <c r="O204" s="95"/>
      <c r="P204" s="95"/>
      <c r="Q204" s="95"/>
      <c r="R204" s="95"/>
      <c r="S204" s="95"/>
      <c r="T204" s="95"/>
      <c r="U204" s="95"/>
      <c r="V204" s="95"/>
      <c r="W204" s="95"/>
      <c r="X204" s="95"/>
      <c r="Y204" s="95"/>
      <c r="Z204" s="95"/>
      <c r="AA204" s="95"/>
      <c r="AB204" s="95"/>
      <c r="AC204" s="95"/>
    </row>
    <row r="205" spans="10:29" x14ac:dyDescent="0.35">
      <c r="J205" s="95"/>
      <c r="K205" s="95"/>
      <c r="L205" s="95"/>
      <c r="M205" s="95"/>
      <c r="N205" s="95"/>
      <c r="O205" s="95"/>
      <c r="P205" s="95"/>
      <c r="Q205" s="95"/>
      <c r="R205" s="95"/>
      <c r="S205" s="95"/>
      <c r="T205" s="95"/>
      <c r="U205" s="95"/>
      <c r="V205" s="95"/>
      <c r="W205" s="95"/>
      <c r="X205" s="95"/>
      <c r="Y205" s="95"/>
      <c r="Z205" s="95"/>
      <c r="AA205" s="95"/>
      <c r="AB205" s="95"/>
      <c r="AC205" s="95"/>
    </row>
    <row r="206" spans="10:29" x14ac:dyDescent="0.35">
      <c r="J206" s="95"/>
      <c r="K206" s="95"/>
      <c r="L206" s="95"/>
      <c r="M206" s="95"/>
      <c r="N206" s="95"/>
      <c r="O206" s="95"/>
      <c r="P206" s="95"/>
      <c r="Q206" s="95"/>
      <c r="R206" s="95"/>
      <c r="S206" s="95"/>
      <c r="T206" s="95"/>
      <c r="U206" s="95"/>
      <c r="V206" s="95"/>
      <c r="W206" s="95"/>
      <c r="X206" s="95"/>
      <c r="Y206" s="95"/>
      <c r="Z206" s="95"/>
      <c r="AA206" s="95"/>
      <c r="AB206" s="95"/>
      <c r="AC206" s="95"/>
    </row>
    <row r="207" spans="10:29" x14ac:dyDescent="0.35">
      <c r="J207" s="95"/>
      <c r="K207" s="95"/>
      <c r="L207" s="95"/>
      <c r="M207" s="95"/>
      <c r="N207" s="95"/>
      <c r="O207" s="95"/>
      <c r="P207" s="95"/>
      <c r="Q207" s="95"/>
      <c r="R207" s="95"/>
      <c r="S207" s="95"/>
      <c r="T207" s="95"/>
      <c r="U207" s="95"/>
      <c r="V207" s="95"/>
      <c r="W207" s="95"/>
      <c r="X207" s="95"/>
      <c r="Y207" s="95"/>
      <c r="Z207" s="95"/>
      <c r="AA207" s="95"/>
      <c r="AB207" s="95"/>
      <c r="AC207" s="95"/>
    </row>
    <row r="208" spans="10:29" x14ac:dyDescent="0.35">
      <c r="J208" s="95"/>
      <c r="K208" s="95"/>
      <c r="L208" s="95"/>
      <c r="M208" s="95"/>
      <c r="N208" s="95"/>
      <c r="O208" s="95"/>
      <c r="P208" s="95"/>
      <c r="Q208" s="95"/>
      <c r="R208" s="95"/>
      <c r="S208" s="95"/>
      <c r="T208" s="95"/>
      <c r="U208" s="95"/>
      <c r="V208" s="95"/>
      <c r="W208" s="95"/>
      <c r="X208" s="95"/>
      <c r="Y208" s="95"/>
      <c r="Z208" s="95"/>
      <c r="AA208" s="95"/>
      <c r="AB208" s="95"/>
      <c r="AC208" s="95"/>
    </row>
    <row r="209" spans="10:29" x14ac:dyDescent="0.35">
      <c r="J209" s="95"/>
      <c r="K209" s="95"/>
      <c r="L209" s="95"/>
      <c r="M209" s="95"/>
      <c r="N209" s="95"/>
      <c r="O209" s="95"/>
      <c r="P209" s="95"/>
      <c r="Q209" s="95"/>
      <c r="R209" s="95"/>
      <c r="S209" s="95"/>
      <c r="T209" s="95"/>
      <c r="U209" s="95"/>
      <c r="V209" s="95"/>
      <c r="W209" s="95"/>
      <c r="X209" s="95"/>
      <c r="Y209" s="95"/>
      <c r="Z209" s="95"/>
      <c r="AA209" s="95"/>
      <c r="AB209" s="95"/>
      <c r="AC209" s="95"/>
    </row>
    <row r="210" spans="10:29" x14ac:dyDescent="0.35">
      <c r="J210" s="95"/>
      <c r="K210" s="95"/>
      <c r="L210" s="95"/>
      <c r="M210" s="95"/>
      <c r="N210" s="95"/>
      <c r="O210" s="95"/>
      <c r="P210" s="95"/>
      <c r="Q210" s="95"/>
      <c r="R210" s="95"/>
      <c r="S210" s="95"/>
      <c r="T210" s="95"/>
      <c r="U210" s="95"/>
      <c r="V210" s="95"/>
      <c r="W210" s="95"/>
      <c r="X210" s="95"/>
      <c r="Y210" s="95"/>
      <c r="Z210" s="95"/>
      <c r="AA210" s="95"/>
      <c r="AB210" s="95"/>
      <c r="AC210" s="95"/>
    </row>
    <row r="211" spans="10:29" x14ac:dyDescent="0.35">
      <c r="J211" s="95"/>
      <c r="K211" s="95"/>
      <c r="L211" s="95"/>
      <c r="M211" s="95"/>
      <c r="N211" s="95"/>
      <c r="O211" s="95"/>
      <c r="P211" s="95"/>
      <c r="Q211" s="95"/>
      <c r="R211" s="95"/>
      <c r="S211" s="95"/>
      <c r="T211" s="95"/>
      <c r="U211" s="95"/>
      <c r="V211" s="95"/>
      <c r="W211" s="95"/>
      <c r="X211" s="95"/>
      <c r="Y211" s="95"/>
      <c r="Z211" s="95"/>
      <c r="AA211" s="95"/>
      <c r="AB211" s="95"/>
      <c r="AC211" s="95"/>
    </row>
    <row r="212" spans="10:29" x14ac:dyDescent="0.35">
      <c r="J212" s="95"/>
      <c r="K212" s="95"/>
      <c r="L212" s="95"/>
      <c r="M212" s="95"/>
      <c r="N212" s="95"/>
      <c r="O212" s="95"/>
      <c r="P212" s="95"/>
      <c r="Q212" s="95"/>
      <c r="R212" s="95"/>
      <c r="S212" s="95"/>
      <c r="T212" s="95"/>
      <c r="U212" s="95"/>
      <c r="V212" s="95"/>
      <c r="W212" s="95"/>
      <c r="X212" s="95"/>
      <c r="Y212" s="95"/>
      <c r="Z212" s="95"/>
      <c r="AA212" s="95"/>
      <c r="AB212" s="95"/>
      <c r="AC212" s="95"/>
    </row>
    <row r="213" spans="10:29" x14ac:dyDescent="0.35">
      <c r="J213" s="95"/>
      <c r="K213" s="95"/>
      <c r="L213" s="95"/>
      <c r="M213" s="95"/>
      <c r="N213" s="95"/>
      <c r="O213" s="95"/>
      <c r="P213" s="95"/>
      <c r="Q213" s="95"/>
      <c r="R213" s="95"/>
      <c r="S213" s="95"/>
      <c r="T213" s="95"/>
      <c r="U213" s="95"/>
      <c r="V213" s="95"/>
      <c r="W213" s="95"/>
      <c r="X213" s="95"/>
      <c r="Y213" s="95"/>
      <c r="Z213" s="95"/>
      <c r="AA213" s="95"/>
      <c r="AB213" s="95"/>
      <c r="AC213" s="95"/>
    </row>
    <row r="214" spans="10:29" x14ac:dyDescent="0.35">
      <c r="J214" s="95"/>
      <c r="K214" s="95"/>
      <c r="L214" s="95"/>
      <c r="M214" s="95"/>
      <c r="N214" s="95"/>
      <c r="O214" s="95"/>
      <c r="P214" s="95"/>
      <c r="Q214" s="95"/>
      <c r="R214" s="95"/>
      <c r="S214" s="95"/>
      <c r="T214" s="95"/>
      <c r="U214" s="95"/>
      <c r="V214" s="95"/>
      <c r="W214" s="95"/>
      <c r="X214" s="95"/>
      <c r="Y214" s="95"/>
      <c r="Z214" s="95"/>
      <c r="AA214" s="95"/>
      <c r="AB214" s="95"/>
      <c r="AC214" s="95"/>
    </row>
    <row r="215" spans="10:29" x14ac:dyDescent="0.35">
      <c r="J215" s="95"/>
      <c r="K215" s="95"/>
      <c r="L215" s="95"/>
      <c r="M215" s="95"/>
      <c r="N215" s="95"/>
      <c r="O215" s="95"/>
      <c r="P215" s="95"/>
      <c r="Q215" s="95"/>
      <c r="R215" s="95"/>
      <c r="S215" s="95"/>
      <c r="T215" s="95"/>
      <c r="U215" s="95"/>
      <c r="V215" s="95"/>
      <c r="W215" s="95"/>
      <c r="X215" s="95"/>
      <c r="Y215" s="95"/>
      <c r="Z215" s="95"/>
      <c r="AA215" s="95"/>
      <c r="AB215" s="95"/>
      <c r="AC215" s="95"/>
    </row>
    <row r="216" spans="10:29" x14ac:dyDescent="0.35">
      <c r="J216" s="95"/>
      <c r="K216" s="95"/>
      <c r="L216" s="95"/>
      <c r="M216" s="95"/>
      <c r="N216" s="95"/>
      <c r="O216" s="95"/>
      <c r="P216" s="95"/>
      <c r="Q216" s="95"/>
      <c r="R216" s="95"/>
      <c r="S216" s="95"/>
      <c r="T216" s="95"/>
      <c r="U216" s="95"/>
      <c r="V216" s="95"/>
      <c r="W216" s="95"/>
      <c r="X216" s="95"/>
      <c r="Y216" s="95"/>
      <c r="Z216" s="95"/>
      <c r="AA216" s="95"/>
      <c r="AB216" s="95"/>
      <c r="AC216" s="95"/>
    </row>
    <row r="217" spans="10:29" x14ac:dyDescent="0.35">
      <c r="J217" s="95"/>
      <c r="K217" s="95"/>
      <c r="L217" s="95"/>
      <c r="M217" s="95"/>
      <c r="N217" s="95"/>
      <c r="O217" s="95"/>
      <c r="P217" s="95"/>
      <c r="Q217" s="95"/>
      <c r="R217" s="95"/>
      <c r="S217" s="95"/>
      <c r="T217" s="95"/>
      <c r="U217" s="95"/>
      <c r="V217" s="95"/>
      <c r="W217" s="95"/>
      <c r="X217" s="95"/>
      <c r="Y217" s="95"/>
      <c r="Z217" s="95"/>
      <c r="AA217" s="95"/>
      <c r="AB217" s="95"/>
      <c r="AC217" s="95"/>
    </row>
    <row r="218" spans="10:29" x14ac:dyDescent="0.35">
      <c r="J218" s="95"/>
      <c r="K218" s="95"/>
      <c r="L218" s="95"/>
      <c r="M218" s="95"/>
      <c r="N218" s="95"/>
      <c r="O218" s="95"/>
      <c r="P218" s="95"/>
      <c r="Q218" s="95"/>
      <c r="R218" s="95"/>
      <c r="S218" s="95"/>
      <c r="T218" s="95"/>
      <c r="U218" s="95"/>
      <c r="V218" s="95"/>
      <c r="W218" s="95"/>
      <c r="X218" s="95"/>
      <c r="Y218" s="95"/>
      <c r="Z218" s="95"/>
      <c r="AA218" s="95"/>
      <c r="AB218" s="95"/>
      <c r="AC218" s="95"/>
    </row>
    <row r="219" spans="10:29" x14ac:dyDescent="0.35">
      <c r="J219" s="95"/>
      <c r="K219" s="95"/>
      <c r="L219" s="95"/>
      <c r="M219" s="95"/>
      <c r="N219" s="95"/>
      <c r="O219" s="95"/>
      <c r="P219" s="95"/>
      <c r="Q219" s="95"/>
      <c r="R219" s="95"/>
      <c r="S219" s="95"/>
      <c r="T219" s="95"/>
      <c r="U219" s="95"/>
      <c r="V219" s="95"/>
      <c r="W219" s="95"/>
      <c r="X219" s="95"/>
      <c r="Y219" s="95"/>
      <c r="Z219" s="95"/>
      <c r="AA219" s="95"/>
      <c r="AB219" s="95"/>
      <c r="AC219" s="95"/>
    </row>
    <row r="220" spans="10:29" x14ac:dyDescent="0.35">
      <c r="J220" s="95"/>
      <c r="K220" s="95"/>
      <c r="L220" s="95"/>
      <c r="M220" s="95"/>
      <c r="N220" s="95"/>
      <c r="O220" s="95"/>
      <c r="P220" s="95"/>
      <c r="Q220" s="95"/>
      <c r="R220" s="95"/>
      <c r="S220" s="95"/>
      <c r="T220" s="95"/>
      <c r="U220" s="95"/>
      <c r="V220" s="95"/>
      <c r="W220" s="95"/>
      <c r="X220" s="95"/>
      <c r="Y220" s="95"/>
      <c r="Z220" s="95"/>
      <c r="AA220" s="95"/>
      <c r="AB220" s="95"/>
      <c r="AC220" s="95"/>
    </row>
    <row r="221" spans="10:29" x14ac:dyDescent="0.35">
      <c r="J221" s="95"/>
      <c r="K221" s="95"/>
      <c r="L221" s="95"/>
      <c r="M221" s="95"/>
      <c r="N221" s="95"/>
      <c r="O221" s="95"/>
      <c r="P221" s="95"/>
      <c r="Q221" s="95"/>
      <c r="R221" s="95"/>
      <c r="S221" s="95"/>
      <c r="T221" s="95"/>
      <c r="U221" s="95"/>
      <c r="V221" s="95"/>
      <c r="W221" s="95"/>
      <c r="X221" s="95"/>
      <c r="Y221" s="95"/>
      <c r="Z221" s="95"/>
      <c r="AA221" s="95"/>
      <c r="AB221" s="95"/>
      <c r="AC221" s="95"/>
    </row>
    <row r="222" spans="10:29" x14ac:dyDescent="0.35">
      <c r="J222" s="95"/>
      <c r="K222" s="95"/>
      <c r="L222" s="95"/>
      <c r="M222" s="95"/>
      <c r="N222" s="95"/>
      <c r="O222" s="95"/>
      <c r="P222" s="95"/>
      <c r="Q222" s="95"/>
      <c r="R222" s="95"/>
      <c r="S222" s="95"/>
      <c r="T222" s="95"/>
      <c r="U222" s="95"/>
      <c r="V222" s="95"/>
      <c r="W222" s="95"/>
      <c r="X222" s="95"/>
      <c r="Y222" s="95"/>
      <c r="Z222" s="95"/>
      <c r="AA222" s="95"/>
      <c r="AB222" s="95"/>
      <c r="AC222" s="95"/>
    </row>
    <row r="223" spans="10:29" x14ac:dyDescent="0.35">
      <c r="J223" s="95"/>
      <c r="K223" s="95"/>
      <c r="L223" s="95"/>
      <c r="M223" s="95"/>
      <c r="N223" s="95"/>
      <c r="O223" s="95"/>
      <c r="P223" s="95"/>
      <c r="Q223" s="95"/>
      <c r="R223" s="95"/>
      <c r="S223" s="95"/>
      <c r="T223" s="95"/>
      <c r="U223" s="95"/>
      <c r="V223" s="95"/>
      <c r="W223" s="95"/>
      <c r="X223" s="95"/>
      <c r="Y223" s="95"/>
      <c r="Z223" s="95"/>
      <c r="AA223" s="95"/>
      <c r="AB223" s="95"/>
      <c r="AC223" s="95"/>
    </row>
    <row r="224" spans="10:29" x14ac:dyDescent="0.35">
      <c r="J224" s="95"/>
      <c r="K224" s="95"/>
      <c r="L224" s="95"/>
      <c r="M224" s="95"/>
      <c r="N224" s="95"/>
      <c r="O224" s="95"/>
      <c r="P224" s="95"/>
      <c r="Q224" s="95"/>
      <c r="R224" s="95"/>
      <c r="S224" s="95"/>
      <c r="T224" s="95"/>
      <c r="U224" s="95"/>
      <c r="V224" s="95"/>
      <c r="W224" s="95"/>
      <c r="X224" s="95"/>
      <c r="Y224" s="95"/>
      <c r="Z224" s="95"/>
      <c r="AA224" s="95"/>
      <c r="AB224" s="95"/>
      <c r="AC224" s="95"/>
    </row>
    <row r="225" spans="10:29" x14ac:dyDescent="0.35">
      <c r="J225" s="95"/>
      <c r="K225" s="95"/>
      <c r="L225" s="95"/>
      <c r="M225" s="95"/>
      <c r="N225" s="95"/>
      <c r="O225" s="95"/>
      <c r="P225" s="95"/>
      <c r="Q225" s="95"/>
      <c r="R225" s="95"/>
      <c r="S225" s="95"/>
      <c r="T225" s="95"/>
      <c r="U225" s="95"/>
      <c r="V225" s="95"/>
      <c r="W225" s="95"/>
      <c r="X225" s="95"/>
      <c r="Y225" s="95"/>
      <c r="Z225" s="95"/>
      <c r="AA225" s="95"/>
      <c r="AB225" s="95"/>
      <c r="AC225" s="95"/>
    </row>
    <row r="226" spans="10:29" x14ac:dyDescent="0.35">
      <c r="J226" s="95"/>
      <c r="K226" s="95"/>
      <c r="L226" s="95"/>
      <c r="M226" s="95"/>
      <c r="N226" s="95"/>
      <c r="O226" s="95"/>
      <c r="P226" s="95"/>
      <c r="Q226" s="95"/>
      <c r="R226" s="95"/>
      <c r="S226" s="95"/>
      <c r="T226" s="95"/>
      <c r="U226" s="95"/>
      <c r="V226" s="95"/>
      <c r="W226" s="95"/>
      <c r="X226" s="95"/>
      <c r="Y226" s="95"/>
      <c r="Z226" s="95"/>
      <c r="AA226" s="95"/>
      <c r="AB226" s="95"/>
      <c r="AC226" s="95"/>
    </row>
    <row r="227" spans="10:29" x14ac:dyDescent="0.35">
      <c r="J227" s="95"/>
      <c r="K227" s="95"/>
      <c r="L227" s="95"/>
      <c r="M227" s="95"/>
      <c r="N227" s="95"/>
      <c r="O227" s="95"/>
      <c r="P227" s="95"/>
      <c r="Q227" s="95"/>
      <c r="R227" s="95"/>
      <c r="S227" s="95"/>
      <c r="T227" s="95"/>
      <c r="U227" s="95"/>
      <c r="V227" s="95"/>
      <c r="W227" s="95"/>
      <c r="X227" s="95"/>
      <c r="Y227" s="95"/>
      <c r="Z227" s="95"/>
      <c r="AA227" s="95"/>
      <c r="AB227" s="95"/>
      <c r="AC227" s="95"/>
    </row>
    <row r="228" spans="10:29" x14ac:dyDescent="0.35">
      <c r="J228" s="95"/>
      <c r="K228" s="95"/>
      <c r="L228" s="95"/>
      <c r="M228" s="95"/>
      <c r="N228" s="95"/>
      <c r="O228" s="95"/>
      <c r="P228" s="95"/>
      <c r="Q228" s="95"/>
      <c r="R228" s="95"/>
      <c r="S228" s="95"/>
      <c r="T228" s="95"/>
      <c r="U228" s="95"/>
      <c r="V228" s="95"/>
      <c r="W228" s="95"/>
      <c r="X228" s="95"/>
      <c r="Y228" s="95"/>
      <c r="Z228" s="95"/>
      <c r="AA228" s="95"/>
      <c r="AB228" s="95"/>
      <c r="AC228" s="95"/>
    </row>
    <row r="229" spans="10:29" x14ac:dyDescent="0.35">
      <c r="J229" s="95"/>
      <c r="K229" s="95"/>
      <c r="L229" s="95"/>
      <c r="M229" s="95"/>
      <c r="N229" s="95"/>
      <c r="O229" s="95"/>
      <c r="P229" s="95"/>
      <c r="Q229" s="95"/>
      <c r="R229" s="95"/>
      <c r="S229" s="95"/>
      <c r="T229" s="95"/>
      <c r="U229" s="95"/>
      <c r="V229" s="95"/>
      <c r="W229" s="95"/>
      <c r="X229" s="95"/>
      <c r="Y229" s="95"/>
      <c r="Z229" s="95"/>
      <c r="AA229" s="95"/>
      <c r="AB229" s="95"/>
      <c r="AC229" s="95"/>
    </row>
    <row r="230" spans="10:29" x14ac:dyDescent="0.35">
      <c r="J230" s="95"/>
      <c r="K230" s="95"/>
      <c r="L230" s="95"/>
      <c r="M230" s="95"/>
      <c r="N230" s="95"/>
      <c r="O230" s="95"/>
      <c r="P230" s="95"/>
      <c r="Q230" s="95"/>
      <c r="R230" s="95"/>
      <c r="S230" s="95"/>
      <c r="T230" s="95"/>
      <c r="U230" s="95"/>
      <c r="V230" s="95"/>
      <c r="W230" s="95"/>
      <c r="X230" s="95"/>
      <c r="Y230" s="95"/>
      <c r="Z230" s="95"/>
      <c r="AA230" s="95"/>
      <c r="AB230" s="95"/>
      <c r="AC230" s="95"/>
    </row>
    <row r="231" spans="10:29" x14ac:dyDescent="0.35">
      <c r="J231" s="95"/>
      <c r="K231" s="95"/>
      <c r="L231" s="95"/>
      <c r="M231" s="95"/>
      <c r="N231" s="95"/>
      <c r="O231" s="95"/>
      <c r="P231" s="95"/>
      <c r="Q231" s="95"/>
      <c r="R231" s="95"/>
      <c r="S231" s="95"/>
      <c r="T231" s="95"/>
      <c r="U231" s="95"/>
      <c r="V231" s="95"/>
      <c r="W231" s="95"/>
      <c r="X231" s="95"/>
      <c r="Y231" s="95"/>
      <c r="Z231" s="95"/>
      <c r="AA231" s="95"/>
      <c r="AB231" s="95"/>
      <c r="AC231" s="95"/>
    </row>
    <row r="232" spans="10:29" x14ac:dyDescent="0.35">
      <c r="J232" s="95"/>
      <c r="K232" s="95"/>
      <c r="L232" s="95"/>
      <c r="M232" s="95"/>
      <c r="N232" s="95"/>
      <c r="O232" s="95"/>
      <c r="P232" s="95"/>
      <c r="Q232" s="95"/>
      <c r="R232" s="95"/>
      <c r="S232" s="95"/>
      <c r="T232" s="95"/>
      <c r="U232" s="95"/>
      <c r="V232" s="95"/>
      <c r="W232" s="95"/>
      <c r="X232" s="95"/>
      <c r="Y232" s="95"/>
      <c r="Z232" s="95"/>
      <c r="AA232" s="95"/>
      <c r="AB232" s="95"/>
      <c r="AC232" s="95"/>
    </row>
    <row r="233" spans="10:29" x14ac:dyDescent="0.35">
      <c r="J233" s="95"/>
      <c r="K233" s="95"/>
      <c r="L233" s="95"/>
      <c r="M233" s="95"/>
      <c r="N233" s="95"/>
      <c r="O233" s="95"/>
      <c r="P233" s="95"/>
      <c r="Q233" s="95"/>
      <c r="R233" s="95"/>
      <c r="S233" s="95"/>
      <c r="T233" s="95"/>
      <c r="U233" s="95"/>
      <c r="V233" s="95"/>
      <c r="W233" s="95"/>
      <c r="X233" s="95"/>
      <c r="Y233" s="95"/>
      <c r="Z233" s="95"/>
      <c r="AA233" s="95"/>
      <c r="AB233" s="95"/>
      <c r="AC233" s="95"/>
    </row>
    <row r="234" spans="10:29" x14ac:dyDescent="0.35">
      <c r="J234" s="95"/>
      <c r="K234" s="95"/>
      <c r="L234" s="95"/>
      <c r="M234" s="95"/>
      <c r="N234" s="95"/>
      <c r="O234" s="95"/>
      <c r="P234" s="95"/>
      <c r="Q234" s="95"/>
      <c r="R234" s="95"/>
      <c r="S234" s="95"/>
      <c r="T234" s="95"/>
      <c r="U234" s="95"/>
      <c r="V234" s="95"/>
      <c r="W234" s="95"/>
      <c r="X234" s="95"/>
      <c r="Y234" s="95"/>
      <c r="Z234" s="95"/>
      <c r="AA234" s="95"/>
      <c r="AB234" s="95"/>
      <c r="AC234" s="95"/>
    </row>
    <row r="235" spans="10:29" x14ac:dyDescent="0.35">
      <c r="J235" s="95"/>
      <c r="K235" s="95"/>
      <c r="L235" s="95"/>
      <c r="M235" s="95"/>
      <c r="N235" s="95"/>
      <c r="O235" s="95"/>
      <c r="P235" s="95"/>
      <c r="Q235" s="95"/>
      <c r="R235" s="95"/>
      <c r="S235" s="95"/>
      <c r="T235" s="95"/>
      <c r="U235" s="95"/>
      <c r="V235" s="95"/>
      <c r="W235" s="95"/>
      <c r="X235" s="95"/>
      <c r="Y235" s="95"/>
      <c r="Z235" s="95"/>
      <c r="AA235" s="95"/>
      <c r="AB235" s="95"/>
      <c r="AC235" s="95"/>
    </row>
    <row r="236" spans="10:29" x14ac:dyDescent="0.35">
      <c r="J236" s="95"/>
      <c r="K236" s="95"/>
      <c r="L236" s="95"/>
      <c r="M236" s="95"/>
      <c r="N236" s="95"/>
      <c r="O236" s="95"/>
      <c r="P236" s="95"/>
      <c r="Q236" s="95"/>
      <c r="R236" s="95"/>
      <c r="S236" s="95"/>
      <c r="T236" s="95"/>
      <c r="U236" s="95"/>
      <c r="V236" s="95"/>
      <c r="W236" s="95"/>
      <c r="X236" s="95"/>
      <c r="Y236" s="95"/>
      <c r="Z236" s="95"/>
      <c r="AA236" s="95"/>
      <c r="AB236" s="95"/>
      <c r="AC236" s="95"/>
    </row>
    <row r="237" spans="10:29" x14ac:dyDescent="0.35">
      <c r="J237" s="95"/>
      <c r="K237" s="95"/>
      <c r="L237" s="95"/>
      <c r="M237" s="95"/>
      <c r="N237" s="95"/>
      <c r="O237" s="95"/>
      <c r="P237" s="95"/>
      <c r="Q237" s="95"/>
      <c r="R237" s="95"/>
      <c r="S237" s="95"/>
      <c r="T237" s="95"/>
      <c r="U237" s="95"/>
      <c r="V237" s="95"/>
      <c r="W237" s="95"/>
      <c r="X237" s="95"/>
      <c r="Y237" s="95"/>
      <c r="Z237" s="95"/>
      <c r="AA237" s="95"/>
      <c r="AB237" s="95"/>
      <c r="AC237" s="95"/>
    </row>
    <row r="238" spans="10:29" x14ac:dyDescent="0.35">
      <c r="J238" s="95"/>
      <c r="K238" s="95"/>
      <c r="L238" s="95"/>
      <c r="M238" s="95"/>
      <c r="N238" s="95"/>
      <c r="O238" s="95"/>
      <c r="P238" s="95"/>
      <c r="Q238" s="95"/>
      <c r="R238" s="95"/>
      <c r="S238" s="95"/>
      <c r="T238" s="95"/>
      <c r="U238" s="95"/>
      <c r="V238" s="95"/>
      <c r="W238" s="95"/>
      <c r="X238" s="95"/>
      <c r="Y238" s="95"/>
      <c r="Z238" s="95"/>
      <c r="AA238" s="95"/>
      <c r="AB238" s="95"/>
      <c r="AC238" s="95"/>
    </row>
    <row r="239" spans="10:29" x14ac:dyDescent="0.35">
      <c r="J239" s="95"/>
      <c r="K239" s="95"/>
      <c r="L239" s="95"/>
      <c r="M239" s="95"/>
      <c r="N239" s="95"/>
      <c r="O239" s="95"/>
      <c r="P239" s="95"/>
      <c r="Q239" s="95"/>
      <c r="R239" s="95"/>
      <c r="S239" s="95"/>
      <c r="T239" s="95"/>
      <c r="U239" s="95"/>
      <c r="V239" s="95"/>
      <c r="W239" s="95"/>
      <c r="X239" s="95"/>
      <c r="Y239" s="95"/>
      <c r="Z239" s="95"/>
      <c r="AA239" s="95"/>
      <c r="AB239" s="95"/>
      <c r="AC239" s="95"/>
    </row>
    <row r="240" spans="10:29" x14ac:dyDescent="0.35">
      <c r="J240" s="95"/>
      <c r="K240" s="95"/>
      <c r="L240" s="95"/>
      <c r="M240" s="95"/>
      <c r="N240" s="95"/>
      <c r="O240" s="95"/>
      <c r="P240" s="95"/>
      <c r="Q240" s="95"/>
      <c r="R240" s="95"/>
      <c r="S240" s="95"/>
      <c r="T240" s="95"/>
      <c r="U240" s="95"/>
      <c r="V240" s="95"/>
      <c r="W240" s="95"/>
      <c r="X240" s="95"/>
      <c r="Y240" s="95"/>
      <c r="Z240" s="95"/>
      <c r="AA240" s="95"/>
      <c r="AB240" s="95"/>
      <c r="AC240" s="95"/>
    </row>
    <row r="241" spans="10:29" x14ac:dyDescent="0.35">
      <c r="J241" s="95"/>
      <c r="K241" s="95"/>
      <c r="L241" s="95"/>
      <c r="M241" s="95"/>
      <c r="N241" s="95"/>
      <c r="O241" s="95"/>
      <c r="P241" s="95"/>
      <c r="Q241" s="95"/>
      <c r="R241" s="95"/>
      <c r="S241" s="95"/>
      <c r="T241" s="95"/>
      <c r="U241" s="95"/>
      <c r="V241" s="95"/>
      <c r="W241" s="95"/>
      <c r="X241" s="95"/>
      <c r="Y241" s="95"/>
      <c r="Z241" s="95"/>
      <c r="AA241" s="95"/>
      <c r="AB241" s="95"/>
      <c r="AC241" s="95"/>
    </row>
    <row r="242" spans="10:29" x14ac:dyDescent="0.35">
      <c r="J242" s="95"/>
      <c r="K242" s="95"/>
      <c r="L242" s="95"/>
      <c r="M242" s="95"/>
      <c r="N242" s="95"/>
      <c r="O242" s="95"/>
      <c r="P242" s="95"/>
      <c r="Q242" s="95"/>
      <c r="R242" s="95"/>
      <c r="S242" s="95"/>
      <c r="T242" s="95"/>
      <c r="U242" s="95"/>
      <c r="V242" s="95"/>
      <c r="W242" s="95"/>
      <c r="X242" s="95"/>
      <c r="Y242" s="95"/>
      <c r="Z242" s="95"/>
      <c r="AA242" s="95"/>
      <c r="AB242" s="95"/>
      <c r="AC242" s="95"/>
    </row>
    <row r="243" spans="10:29" x14ac:dyDescent="0.35">
      <c r="J243" s="95"/>
      <c r="K243" s="95"/>
      <c r="L243" s="95"/>
      <c r="M243" s="95"/>
      <c r="N243" s="95"/>
      <c r="O243" s="95"/>
      <c r="P243" s="95"/>
      <c r="Q243" s="95"/>
      <c r="R243" s="95"/>
      <c r="S243" s="95"/>
      <c r="T243" s="95"/>
      <c r="U243" s="95"/>
      <c r="V243" s="95"/>
      <c r="W243" s="95"/>
      <c r="X243" s="95"/>
      <c r="Y243" s="95"/>
      <c r="Z243" s="95"/>
      <c r="AA243" s="95"/>
      <c r="AB243" s="95"/>
      <c r="AC243" s="95"/>
    </row>
    <row r="244" spans="10:29" x14ac:dyDescent="0.35">
      <c r="J244" s="95"/>
      <c r="K244" s="95"/>
      <c r="L244" s="95"/>
      <c r="M244" s="95"/>
      <c r="N244" s="95"/>
      <c r="O244" s="95"/>
      <c r="P244" s="95"/>
      <c r="Q244" s="95"/>
      <c r="R244" s="95"/>
      <c r="S244" s="95"/>
      <c r="T244" s="95"/>
      <c r="U244" s="95"/>
      <c r="V244" s="95"/>
      <c r="W244" s="95"/>
      <c r="X244" s="95"/>
      <c r="Y244" s="95"/>
      <c r="Z244" s="95"/>
      <c r="AA244" s="95"/>
      <c r="AB244" s="95"/>
      <c r="AC244" s="95"/>
    </row>
    <row r="245" spans="10:29" x14ac:dyDescent="0.35">
      <c r="J245" s="95"/>
      <c r="K245" s="95"/>
      <c r="L245" s="95"/>
      <c r="M245" s="95"/>
      <c r="N245" s="95"/>
      <c r="O245" s="95"/>
      <c r="P245" s="95"/>
      <c r="Q245" s="95"/>
      <c r="R245" s="95"/>
      <c r="S245" s="95"/>
      <c r="T245" s="95"/>
      <c r="U245" s="95"/>
      <c r="V245" s="95"/>
      <c r="W245" s="95"/>
      <c r="X245" s="95"/>
      <c r="Y245" s="95"/>
      <c r="Z245" s="95"/>
      <c r="AA245" s="95"/>
      <c r="AB245" s="95"/>
      <c r="AC245" s="95"/>
    </row>
    <row r="246" spans="10:29" x14ac:dyDescent="0.35">
      <c r="J246" s="95"/>
      <c r="K246" s="95"/>
      <c r="L246" s="95"/>
      <c r="M246" s="95"/>
      <c r="N246" s="95"/>
      <c r="O246" s="95"/>
      <c r="P246" s="95"/>
      <c r="Q246" s="95"/>
      <c r="R246" s="95"/>
      <c r="S246" s="95"/>
      <c r="T246" s="95"/>
      <c r="U246" s="95"/>
      <c r="V246" s="95"/>
      <c r="W246" s="95"/>
      <c r="X246" s="95"/>
      <c r="Y246" s="95"/>
      <c r="Z246" s="95"/>
      <c r="AA246" s="95"/>
      <c r="AB246" s="95"/>
      <c r="AC246" s="95"/>
    </row>
    <row r="247" spans="10:29" x14ac:dyDescent="0.35">
      <c r="J247" s="95"/>
      <c r="K247" s="95"/>
      <c r="L247" s="95"/>
      <c r="M247" s="95"/>
      <c r="N247" s="95"/>
      <c r="O247" s="95"/>
      <c r="P247" s="95"/>
      <c r="Q247" s="95"/>
      <c r="R247" s="95"/>
      <c r="S247" s="95"/>
      <c r="T247" s="95"/>
      <c r="U247" s="95"/>
      <c r="V247" s="95"/>
      <c r="W247" s="95"/>
      <c r="X247" s="95"/>
      <c r="Y247" s="95"/>
      <c r="Z247" s="95"/>
      <c r="AA247" s="95"/>
      <c r="AB247" s="95"/>
      <c r="AC247" s="95"/>
    </row>
    <row r="248" spans="10:29" x14ac:dyDescent="0.35">
      <c r="J248" s="95"/>
      <c r="K248" s="95"/>
      <c r="L248" s="95"/>
      <c r="M248" s="95"/>
      <c r="N248" s="95"/>
      <c r="O248" s="95"/>
      <c r="P248" s="95"/>
      <c r="Q248" s="95"/>
      <c r="R248" s="95"/>
      <c r="S248" s="95"/>
      <c r="T248" s="95"/>
      <c r="U248" s="95"/>
      <c r="V248" s="95"/>
      <c r="W248" s="95"/>
      <c r="X248" s="95"/>
      <c r="Y248" s="95"/>
      <c r="Z248" s="95"/>
      <c r="AA248" s="95"/>
      <c r="AB248" s="95"/>
      <c r="AC248" s="95"/>
    </row>
    <row r="249" spans="10:29" x14ac:dyDescent="0.35">
      <c r="J249" s="95"/>
      <c r="K249" s="95"/>
      <c r="L249" s="95"/>
      <c r="M249" s="95"/>
      <c r="N249" s="95"/>
      <c r="O249" s="95"/>
      <c r="P249" s="95"/>
      <c r="Q249" s="95"/>
      <c r="R249" s="95"/>
      <c r="S249" s="95"/>
      <c r="T249" s="95"/>
      <c r="U249" s="95"/>
      <c r="V249" s="95"/>
      <c r="W249" s="95"/>
      <c r="X249" s="95"/>
      <c r="Y249" s="95"/>
      <c r="Z249" s="95"/>
      <c r="AA249" s="95"/>
      <c r="AB249" s="95"/>
      <c r="AC249" s="95"/>
    </row>
    <row r="250" spans="10:29" x14ac:dyDescent="0.35">
      <c r="J250" s="95"/>
      <c r="K250" s="95"/>
      <c r="L250" s="95"/>
      <c r="M250" s="95"/>
      <c r="N250" s="95"/>
      <c r="O250" s="95"/>
      <c r="P250" s="95"/>
      <c r="Q250" s="95"/>
      <c r="R250" s="95"/>
      <c r="S250" s="95"/>
      <c r="T250" s="95"/>
      <c r="U250" s="95"/>
      <c r="V250" s="95"/>
      <c r="W250" s="95"/>
      <c r="X250" s="95"/>
      <c r="Y250" s="95"/>
      <c r="Z250" s="95"/>
      <c r="AA250" s="95"/>
      <c r="AB250" s="95"/>
      <c r="AC250" s="95"/>
    </row>
    <row r="251" spans="10:29" x14ac:dyDescent="0.35">
      <c r="J251" s="95"/>
      <c r="K251" s="95"/>
      <c r="L251" s="95"/>
      <c r="M251" s="95"/>
      <c r="N251" s="95"/>
      <c r="O251" s="95"/>
      <c r="P251" s="95"/>
      <c r="Q251" s="95"/>
      <c r="R251" s="95"/>
      <c r="S251" s="95"/>
      <c r="T251" s="95"/>
      <c r="U251" s="95"/>
      <c r="V251" s="95"/>
      <c r="W251" s="95"/>
      <c r="X251" s="95"/>
      <c r="Y251" s="95"/>
      <c r="Z251" s="95"/>
      <c r="AA251" s="95"/>
      <c r="AB251" s="95"/>
      <c r="AC251" s="95"/>
    </row>
    <row r="252" spans="10:29" x14ac:dyDescent="0.35">
      <c r="J252" s="95"/>
      <c r="K252" s="95"/>
      <c r="L252" s="95"/>
      <c r="M252" s="95"/>
      <c r="N252" s="95"/>
      <c r="O252" s="95"/>
      <c r="P252" s="95"/>
      <c r="Q252" s="95"/>
      <c r="R252" s="95"/>
      <c r="S252" s="95"/>
      <c r="T252" s="95"/>
      <c r="U252" s="95"/>
      <c r="V252" s="95"/>
      <c r="W252" s="95"/>
      <c r="X252" s="95"/>
      <c r="Y252" s="95"/>
      <c r="Z252" s="95"/>
      <c r="AA252" s="95"/>
      <c r="AB252" s="95"/>
      <c r="AC252" s="95"/>
    </row>
    <row r="253" spans="10:29" x14ac:dyDescent="0.35">
      <c r="J253" s="95"/>
      <c r="K253" s="95"/>
      <c r="L253" s="95"/>
      <c r="M253" s="95"/>
      <c r="N253" s="95"/>
      <c r="O253" s="95"/>
      <c r="P253" s="95"/>
      <c r="Q253" s="95"/>
      <c r="R253" s="95"/>
      <c r="S253" s="95"/>
      <c r="T253" s="95"/>
      <c r="U253" s="95"/>
      <c r="V253" s="95"/>
      <c r="W253" s="95"/>
      <c r="X253" s="95"/>
      <c r="Y253" s="95"/>
      <c r="Z253" s="95"/>
      <c r="AA253" s="95"/>
      <c r="AB253" s="95"/>
      <c r="AC253" s="95"/>
    </row>
    <row r="254" spans="10:29" x14ac:dyDescent="0.35">
      <c r="J254" s="95"/>
      <c r="K254" s="95"/>
      <c r="L254" s="95"/>
      <c r="M254" s="95"/>
      <c r="N254" s="95"/>
      <c r="O254" s="95"/>
      <c r="P254" s="95"/>
      <c r="Q254" s="95"/>
      <c r="R254" s="95"/>
      <c r="S254" s="95"/>
      <c r="T254" s="95"/>
      <c r="U254" s="95"/>
      <c r="V254" s="95"/>
      <c r="W254" s="95"/>
      <c r="X254" s="95"/>
      <c r="Y254" s="95"/>
      <c r="Z254" s="95"/>
      <c r="AA254" s="95"/>
      <c r="AB254" s="95"/>
      <c r="AC254" s="95"/>
    </row>
    <row r="255" spans="10:29" x14ac:dyDescent="0.35">
      <c r="J255" s="95"/>
      <c r="K255" s="95"/>
      <c r="L255" s="95"/>
      <c r="M255" s="95"/>
      <c r="N255" s="95"/>
      <c r="O255" s="95"/>
      <c r="P255" s="95"/>
      <c r="Q255" s="95"/>
      <c r="R255" s="95"/>
      <c r="S255" s="95"/>
      <c r="T255" s="95"/>
      <c r="U255" s="95"/>
      <c r="V255" s="95"/>
      <c r="W255" s="95"/>
      <c r="X255" s="95"/>
      <c r="Y255" s="95"/>
      <c r="Z255" s="95"/>
      <c r="AA255" s="95"/>
      <c r="AB255" s="95"/>
      <c r="AC255" s="95"/>
    </row>
    <row r="256" spans="10:29" x14ac:dyDescent="0.35">
      <c r="J256" s="95"/>
      <c r="K256" s="95"/>
      <c r="L256" s="95"/>
      <c r="M256" s="95"/>
      <c r="N256" s="95"/>
      <c r="O256" s="95"/>
      <c r="P256" s="95"/>
      <c r="Q256" s="95"/>
      <c r="R256" s="95"/>
      <c r="S256" s="95"/>
      <c r="T256" s="95"/>
      <c r="U256" s="95"/>
      <c r="V256" s="95"/>
      <c r="W256" s="95"/>
      <c r="X256" s="95"/>
      <c r="Y256" s="95"/>
      <c r="Z256" s="95"/>
      <c r="AA256" s="95"/>
      <c r="AB256" s="95"/>
      <c r="AC256" s="95"/>
    </row>
    <row r="257" spans="10:29" x14ac:dyDescent="0.35">
      <c r="J257" s="95"/>
      <c r="K257" s="95"/>
      <c r="L257" s="95"/>
      <c r="M257" s="95"/>
      <c r="N257" s="95"/>
      <c r="O257" s="95"/>
      <c r="P257" s="95"/>
      <c r="Q257" s="95"/>
      <c r="R257" s="95"/>
      <c r="S257" s="95"/>
      <c r="T257" s="95"/>
      <c r="U257" s="95"/>
      <c r="V257" s="95"/>
      <c r="W257" s="95"/>
      <c r="X257" s="95"/>
      <c r="Y257" s="95"/>
      <c r="Z257" s="95"/>
      <c r="AA257" s="95"/>
      <c r="AB257" s="95"/>
      <c r="AC257" s="95"/>
    </row>
    <row r="258" spans="10:29" x14ac:dyDescent="0.35">
      <c r="J258" s="95"/>
      <c r="K258" s="95"/>
      <c r="L258" s="95"/>
      <c r="M258" s="95"/>
      <c r="N258" s="95"/>
      <c r="O258" s="95"/>
      <c r="P258" s="95"/>
      <c r="Q258" s="95"/>
      <c r="R258" s="95"/>
      <c r="S258" s="95"/>
      <c r="T258" s="95"/>
      <c r="U258" s="95"/>
      <c r="V258" s="95"/>
      <c r="W258" s="95"/>
      <c r="X258" s="95"/>
      <c r="Y258" s="95"/>
      <c r="Z258" s="95"/>
      <c r="AA258" s="95"/>
      <c r="AB258" s="95"/>
      <c r="AC258" s="95"/>
    </row>
    <row r="259" spans="10:29" x14ac:dyDescent="0.35">
      <c r="J259" s="95"/>
      <c r="K259" s="95"/>
      <c r="L259" s="95"/>
      <c r="M259" s="95"/>
      <c r="N259" s="95"/>
      <c r="O259" s="95"/>
      <c r="P259" s="95"/>
      <c r="Q259" s="95"/>
      <c r="R259" s="95"/>
      <c r="S259" s="95"/>
      <c r="T259" s="95"/>
      <c r="U259" s="95"/>
      <c r="V259" s="95"/>
      <c r="W259" s="95"/>
      <c r="X259" s="95"/>
      <c r="Y259" s="95"/>
      <c r="Z259" s="95"/>
      <c r="AA259" s="95"/>
      <c r="AB259" s="95"/>
      <c r="AC259" s="95"/>
    </row>
    <row r="260" spans="10:29" x14ac:dyDescent="0.35">
      <c r="J260" s="95"/>
      <c r="K260" s="95"/>
      <c r="L260" s="95"/>
      <c r="M260" s="95"/>
      <c r="N260" s="95"/>
      <c r="O260" s="95"/>
      <c r="P260" s="95"/>
      <c r="Q260" s="95"/>
      <c r="R260" s="95"/>
      <c r="S260" s="95"/>
      <c r="T260" s="95"/>
      <c r="U260" s="95"/>
      <c r="V260" s="95"/>
      <c r="W260" s="95"/>
      <c r="X260" s="95"/>
      <c r="Y260" s="95"/>
      <c r="Z260" s="95"/>
      <c r="AA260" s="95"/>
      <c r="AB260" s="95"/>
      <c r="AC260" s="95"/>
    </row>
    <row r="261" spans="10:29" x14ac:dyDescent="0.35">
      <c r="J261" s="95"/>
      <c r="K261" s="95"/>
      <c r="L261" s="95"/>
      <c r="M261" s="95"/>
      <c r="N261" s="95"/>
      <c r="O261" s="95"/>
      <c r="P261" s="95"/>
      <c r="Q261" s="95"/>
      <c r="R261" s="95"/>
      <c r="S261" s="95"/>
      <c r="T261" s="95"/>
      <c r="U261" s="95"/>
      <c r="V261" s="95"/>
      <c r="W261" s="95"/>
      <c r="X261" s="95"/>
      <c r="Y261" s="95"/>
      <c r="Z261" s="95"/>
      <c r="AA261" s="95"/>
      <c r="AB261" s="95"/>
      <c r="AC261" s="95"/>
    </row>
    <row r="262" spans="10:29" x14ac:dyDescent="0.35">
      <c r="J262" s="95"/>
      <c r="K262" s="95"/>
      <c r="L262" s="95"/>
      <c r="M262" s="95"/>
      <c r="N262" s="95"/>
      <c r="O262" s="95"/>
      <c r="P262" s="95"/>
      <c r="Q262" s="95"/>
      <c r="R262" s="95"/>
      <c r="S262" s="95"/>
      <c r="T262" s="95"/>
      <c r="U262" s="95"/>
      <c r="V262" s="95"/>
      <c r="W262" s="95"/>
      <c r="X262" s="95"/>
      <c r="Y262" s="95"/>
      <c r="Z262" s="95"/>
      <c r="AA262" s="95"/>
      <c r="AB262" s="95"/>
      <c r="AC262" s="95"/>
    </row>
    <row r="263" spans="10:29" x14ac:dyDescent="0.35">
      <c r="J263" s="95"/>
      <c r="K263" s="95"/>
      <c r="L263" s="95"/>
      <c r="M263" s="95"/>
      <c r="N263" s="95"/>
      <c r="O263" s="95"/>
      <c r="P263" s="95"/>
      <c r="Q263" s="95"/>
      <c r="R263" s="95"/>
      <c r="S263" s="95"/>
      <c r="T263" s="95"/>
      <c r="U263" s="95"/>
      <c r="V263" s="95"/>
      <c r="W263" s="95"/>
      <c r="X263" s="95"/>
      <c r="Y263" s="95"/>
      <c r="Z263" s="95"/>
      <c r="AA263" s="95"/>
      <c r="AB263" s="95"/>
      <c r="AC263" s="95"/>
    </row>
    <row r="264" spans="10:29" x14ac:dyDescent="0.35">
      <c r="J264" s="95"/>
      <c r="K264" s="95"/>
      <c r="L264" s="95"/>
      <c r="M264" s="95"/>
      <c r="N264" s="95"/>
      <c r="O264" s="95"/>
      <c r="P264" s="95"/>
      <c r="Q264" s="95"/>
      <c r="R264" s="95"/>
      <c r="S264" s="95"/>
      <c r="T264" s="95"/>
      <c r="U264" s="95"/>
      <c r="V264" s="95"/>
      <c r="W264" s="95"/>
      <c r="X264" s="95"/>
      <c r="Y264" s="95"/>
      <c r="Z264" s="95"/>
      <c r="AA264" s="95"/>
      <c r="AB264" s="95"/>
      <c r="AC264" s="95"/>
    </row>
    <row r="265" spans="10:29" x14ac:dyDescent="0.35">
      <c r="J265" s="95"/>
      <c r="K265" s="95"/>
      <c r="L265" s="95"/>
      <c r="M265" s="95"/>
      <c r="N265" s="95"/>
      <c r="O265" s="95"/>
      <c r="P265" s="95"/>
      <c r="Q265" s="95"/>
      <c r="R265" s="95"/>
      <c r="S265" s="95"/>
      <c r="T265" s="95"/>
      <c r="U265" s="95"/>
      <c r="V265" s="95"/>
      <c r="W265" s="95"/>
      <c r="X265" s="95"/>
      <c r="Y265" s="95"/>
      <c r="Z265" s="95"/>
      <c r="AA265" s="95"/>
      <c r="AB265" s="95"/>
      <c r="AC265" s="95"/>
    </row>
    <row r="266" spans="10:29" x14ac:dyDescent="0.35">
      <c r="J266" s="95"/>
      <c r="K266" s="95"/>
      <c r="L266" s="95"/>
      <c r="M266" s="95"/>
      <c r="N266" s="95"/>
      <c r="O266" s="95"/>
      <c r="P266" s="95"/>
      <c r="Q266" s="95"/>
      <c r="R266" s="95"/>
      <c r="S266" s="95"/>
      <c r="T266" s="95"/>
      <c r="U266" s="95"/>
      <c r="V266" s="95"/>
      <c r="W266" s="95"/>
      <c r="X266" s="95"/>
      <c r="Y266" s="95"/>
      <c r="Z266" s="95"/>
      <c r="AA266" s="95"/>
      <c r="AB266" s="95"/>
      <c r="AC266" s="95"/>
    </row>
    <row r="267" spans="10:29" x14ac:dyDescent="0.35">
      <c r="J267" s="95"/>
      <c r="K267" s="95"/>
      <c r="L267" s="95"/>
      <c r="M267" s="95"/>
      <c r="N267" s="95"/>
      <c r="O267" s="95"/>
      <c r="P267" s="95"/>
      <c r="Q267" s="95"/>
      <c r="R267" s="95"/>
      <c r="S267" s="95"/>
      <c r="T267" s="95"/>
      <c r="U267" s="95"/>
      <c r="V267" s="95"/>
      <c r="W267" s="95"/>
      <c r="X267" s="95"/>
      <c r="Y267" s="95"/>
      <c r="Z267" s="95"/>
      <c r="AA267" s="95"/>
      <c r="AB267" s="95"/>
      <c r="AC267" s="95"/>
    </row>
    <row r="268" spans="10:29" x14ac:dyDescent="0.35">
      <c r="J268" s="95"/>
      <c r="K268" s="95"/>
      <c r="L268" s="95"/>
      <c r="M268" s="95"/>
      <c r="N268" s="95"/>
      <c r="O268" s="95"/>
      <c r="P268" s="95"/>
      <c r="Q268" s="95"/>
      <c r="R268" s="95"/>
      <c r="S268" s="95"/>
      <c r="T268" s="95"/>
      <c r="U268" s="95"/>
      <c r="V268" s="95"/>
      <c r="W268" s="95"/>
      <c r="X268" s="95"/>
      <c r="Y268" s="95"/>
      <c r="Z268" s="95"/>
      <c r="AA268" s="95"/>
      <c r="AB268" s="95"/>
      <c r="AC268" s="95"/>
    </row>
    <row r="269" spans="10:29" x14ac:dyDescent="0.35">
      <c r="J269" s="95"/>
      <c r="K269" s="95"/>
      <c r="L269" s="95"/>
      <c r="M269" s="95"/>
      <c r="N269" s="95"/>
      <c r="O269" s="95"/>
      <c r="P269" s="95"/>
      <c r="Q269" s="95"/>
      <c r="R269" s="95"/>
      <c r="S269" s="95"/>
      <c r="T269" s="95"/>
      <c r="U269" s="95"/>
      <c r="V269" s="95"/>
      <c r="W269" s="95"/>
      <c r="X269" s="95"/>
      <c r="Y269" s="95"/>
      <c r="Z269" s="95"/>
      <c r="AA269" s="95"/>
      <c r="AB269" s="95"/>
      <c r="AC269" s="95"/>
    </row>
    <row r="270" spans="10:29" x14ac:dyDescent="0.35">
      <c r="J270" s="95"/>
      <c r="K270" s="95"/>
      <c r="L270" s="95"/>
      <c r="M270" s="95"/>
      <c r="N270" s="95"/>
      <c r="O270" s="95"/>
      <c r="P270" s="95"/>
      <c r="Q270" s="95"/>
      <c r="R270" s="95"/>
      <c r="S270" s="95"/>
      <c r="T270" s="95"/>
      <c r="U270" s="95"/>
      <c r="V270" s="95"/>
      <c r="W270" s="95"/>
      <c r="X270" s="95"/>
      <c r="Y270" s="95"/>
      <c r="Z270" s="95"/>
      <c r="AA270" s="95"/>
      <c r="AB270" s="95"/>
      <c r="AC270" s="95"/>
    </row>
    <row r="271" spans="10:29" x14ac:dyDescent="0.35">
      <c r="J271" s="95"/>
      <c r="K271" s="95"/>
      <c r="L271" s="95"/>
      <c r="M271" s="95"/>
      <c r="N271" s="95"/>
      <c r="O271" s="95"/>
      <c r="P271" s="95"/>
      <c r="Q271" s="95"/>
      <c r="R271" s="95"/>
      <c r="S271" s="95"/>
      <c r="T271" s="95"/>
      <c r="U271" s="95"/>
      <c r="V271" s="95"/>
      <c r="W271" s="95"/>
      <c r="X271" s="95"/>
      <c r="Y271" s="95"/>
      <c r="Z271" s="95"/>
      <c r="AA271" s="95"/>
      <c r="AB271" s="95"/>
      <c r="AC271" s="95"/>
    </row>
    <row r="272" spans="10:29" x14ac:dyDescent="0.35">
      <c r="J272" s="95"/>
      <c r="K272" s="95"/>
      <c r="L272" s="95"/>
      <c r="M272" s="95"/>
      <c r="N272" s="95"/>
      <c r="O272" s="95"/>
      <c r="P272" s="95"/>
      <c r="Q272" s="95"/>
      <c r="R272" s="95"/>
      <c r="S272" s="95"/>
      <c r="T272" s="95"/>
      <c r="U272" s="95"/>
      <c r="V272" s="95"/>
      <c r="W272" s="95"/>
      <c r="X272" s="95"/>
      <c r="Y272" s="95"/>
      <c r="Z272" s="95"/>
      <c r="AA272" s="95"/>
      <c r="AB272" s="95"/>
      <c r="AC272" s="95"/>
    </row>
    <row r="273" spans="10:29" x14ac:dyDescent="0.35">
      <c r="J273" s="95"/>
      <c r="K273" s="95"/>
      <c r="L273" s="95"/>
      <c r="M273" s="95"/>
      <c r="N273" s="95"/>
      <c r="O273" s="95"/>
      <c r="P273" s="95"/>
      <c r="Q273" s="95"/>
      <c r="R273" s="95"/>
      <c r="S273" s="95"/>
      <c r="T273" s="95"/>
      <c r="U273" s="95"/>
      <c r="V273" s="95"/>
      <c r="W273" s="95"/>
      <c r="X273" s="95"/>
      <c r="Y273" s="95"/>
      <c r="Z273" s="95"/>
      <c r="AA273" s="95"/>
      <c r="AB273" s="95"/>
      <c r="AC273" s="95"/>
    </row>
    <row r="274" spans="10:29" x14ac:dyDescent="0.35">
      <c r="J274" s="95"/>
      <c r="K274" s="95"/>
      <c r="L274" s="95"/>
      <c r="M274" s="95"/>
      <c r="N274" s="95"/>
      <c r="O274" s="95"/>
      <c r="P274" s="95"/>
      <c r="Q274" s="95"/>
      <c r="R274" s="95"/>
      <c r="S274" s="95"/>
      <c r="T274" s="95"/>
      <c r="U274" s="95"/>
      <c r="V274" s="95"/>
      <c r="W274" s="95"/>
      <c r="X274" s="95"/>
      <c r="Y274" s="95"/>
      <c r="Z274" s="95"/>
      <c r="AA274" s="95"/>
      <c r="AB274" s="95"/>
      <c r="AC274" s="95"/>
    </row>
    <row r="275" spans="10:29" x14ac:dyDescent="0.35">
      <c r="J275" s="95"/>
      <c r="K275" s="95"/>
      <c r="L275" s="95"/>
      <c r="M275" s="95"/>
      <c r="N275" s="95"/>
      <c r="O275" s="95"/>
      <c r="P275" s="95"/>
      <c r="Q275" s="95"/>
      <c r="R275" s="95"/>
      <c r="S275" s="95"/>
      <c r="T275" s="95"/>
      <c r="U275" s="95"/>
      <c r="V275" s="95"/>
      <c r="W275" s="95"/>
      <c r="X275" s="95"/>
      <c r="Y275" s="95"/>
      <c r="Z275" s="95"/>
      <c r="AA275" s="95"/>
      <c r="AB275" s="95"/>
      <c r="AC275" s="95"/>
    </row>
    <row r="276" spans="10:29" x14ac:dyDescent="0.35">
      <c r="J276" s="95"/>
      <c r="K276" s="95"/>
      <c r="L276" s="95"/>
      <c r="M276" s="95"/>
      <c r="N276" s="95"/>
      <c r="O276" s="95"/>
      <c r="P276" s="95"/>
      <c r="Q276" s="95"/>
      <c r="R276" s="95"/>
      <c r="S276" s="95"/>
      <c r="T276" s="95"/>
      <c r="U276" s="95"/>
      <c r="V276" s="95"/>
      <c r="W276" s="95"/>
      <c r="X276" s="95"/>
      <c r="Y276" s="95"/>
      <c r="Z276" s="95"/>
      <c r="AA276" s="95"/>
      <c r="AB276" s="95"/>
      <c r="AC276" s="95"/>
    </row>
    <row r="277" spans="10:29" x14ac:dyDescent="0.35">
      <c r="J277" s="95"/>
      <c r="K277" s="95"/>
      <c r="L277" s="95"/>
      <c r="M277" s="95"/>
      <c r="N277" s="95"/>
      <c r="O277" s="95"/>
      <c r="P277" s="95"/>
      <c r="Q277" s="95"/>
      <c r="R277" s="95"/>
      <c r="S277" s="95"/>
      <c r="T277" s="95"/>
      <c r="U277" s="95"/>
      <c r="V277" s="95"/>
      <c r="W277" s="95"/>
      <c r="X277" s="95"/>
      <c r="Y277" s="95"/>
      <c r="Z277" s="95"/>
      <c r="AA277" s="95"/>
      <c r="AB277" s="95"/>
      <c r="AC277" s="95"/>
    </row>
    <row r="278" spans="10:29" x14ac:dyDescent="0.35">
      <c r="J278" s="95"/>
      <c r="K278" s="95"/>
      <c r="L278" s="95"/>
      <c r="M278" s="95"/>
      <c r="N278" s="95"/>
      <c r="O278" s="95"/>
      <c r="P278" s="95"/>
      <c r="Q278" s="95"/>
      <c r="R278" s="95"/>
      <c r="S278" s="95"/>
      <c r="T278" s="95"/>
      <c r="U278" s="95"/>
      <c r="V278" s="95"/>
      <c r="W278" s="95"/>
      <c r="X278" s="95"/>
      <c r="Y278" s="95"/>
      <c r="Z278" s="95"/>
      <c r="AA278" s="95"/>
      <c r="AB278" s="95"/>
      <c r="AC278" s="95"/>
    </row>
    <row r="279" spans="10:29" x14ac:dyDescent="0.35">
      <c r="J279" s="95"/>
      <c r="K279" s="95"/>
      <c r="L279" s="95"/>
      <c r="M279" s="95"/>
      <c r="N279" s="95"/>
      <c r="O279" s="95"/>
      <c r="P279" s="95"/>
      <c r="Q279" s="95"/>
      <c r="R279" s="95"/>
      <c r="S279" s="95"/>
      <c r="T279" s="95"/>
      <c r="U279" s="95"/>
      <c r="V279" s="95"/>
      <c r="W279" s="95"/>
      <c r="X279" s="95"/>
      <c r="Y279" s="95"/>
      <c r="Z279" s="95"/>
      <c r="AA279" s="95"/>
      <c r="AB279" s="95"/>
      <c r="AC279" s="95"/>
    </row>
    <row r="280" spans="10:29" x14ac:dyDescent="0.35">
      <c r="J280" s="95"/>
      <c r="K280" s="95"/>
      <c r="L280" s="95"/>
      <c r="M280" s="95"/>
      <c r="N280" s="95"/>
      <c r="O280" s="95"/>
      <c r="P280" s="95"/>
      <c r="Q280" s="95"/>
      <c r="R280" s="95"/>
      <c r="S280" s="95"/>
      <c r="T280" s="95"/>
      <c r="U280" s="95"/>
      <c r="V280" s="95"/>
      <c r="W280" s="95"/>
      <c r="X280" s="95"/>
      <c r="Y280" s="95"/>
      <c r="Z280" s="95"/>
      <c r="AA280" s="95"/>
      <c r="AB280" s="95"/>
      <c r="AC280" s="95"/>
    </row>
    <row r="281" spans="10:29" x14ac:dyDescent="0.35">
      <c r="J281" s="95"/>
      <c r="K281" s="95"/>
      <c r="L281" s="95"/>
      <c r="M281" s="95"/>
      <c r="N281" s="95"/>
      <c r="O281" s="95"/>
      <c r="P281" s="95"/>
      <c r="Q281" s="95"/>
      <c r="R281" s="95"/>
      <c r="S281" s="95"/>
      <c r="T281" s="95"/>
      <c r="U281" s="95"/>
      <c r="V281" s="95"/>
      <c r="W281" s="95"/>
      <c r="X281" s="95"/>
      <c r="Y281" s="95"/>
      <c r="Z281" s="95"/>
      <c r="AA281" s="95"/>
      <c r="AB281" s="95"/>
      <c r="AC281" s="95"/>
    </row>
    <row r="282" spans="10:29" x14ac:dyDescent="0.35">
      <c r="J282" s="95"/>
      <c r="K282" s="95"/>
      <c r="L282" s="95"/>
      <c r="M282" s="95"/>
      <c r="N282" s="95"/>
      <c r="O282" s="95"/>
      <c r="P282" s="95"/>
      <c r="Q282" s="95"/>
      <c r="R282" s="95"/>
      <c r="S282" s="95"/>
      <c r="T282" s="95"/>
      <c r="U282" s="95"/>
      <c r="V282" s="95"/>
      <c r="W282" s="95"/>
      <c r="X282" s="95"/>
      <c r="Y282" s="95"/>
      <c r="Z282" s="95"/>
      <c r="AA282" s="95"/>
      <c r="AB282" s="95"/>
      <c r="AC282" s="95"/>
    </row>
    <row r="283" spans="10:29" x14ac:dyDescent="0.35">
      <c r="J283" s="95"/>
      <c r="K283" s="95"/>
      <c r="L283" s="95"/>
      <c r="M283" s="95"/>
      <c r="N283" s="95"/>
      <c r="O283" s="95"/>
      <c r="P283" s="95"/>
      <c r="Q283" s="95"/>
      <c r="R283" s="95"/>
      <c r="S283" s="95"/>
      <c r="T283" s="95"/>
      <c r="U283" s="95"/>
      <c r="V283" s="95"/>
      <c r="W283" s="95"/>
      <c r="X283" s="95"/>
      <c r="Y283" s="95"/>
      <c r="Z283" s="95"/>
      <c r="AA283" s="95"/>
      <c r="AB283" s="95"/>
      <c r="AC283" s="95"/>
    </row>
    <row r="284" spans="10:29" x14ac:dyDescent="0.35">
      <c r="J284" s="95"/>
      <c r="K284" s="95"/>
      <c r="L284" s="95"/>
      <c r="M284" s="95"/>
      <c r="N284" s="95"/>
      <c r="O284" s="95"/>
      <c r="P284" s="95"/>
      <c r="Q284" s="95"/>
      <c r="R284" s="95"/>
      <c r="S284" s="95"/>
      <c r="T284" s="95"/>
      <c r="U284" s="95"/>
      <c r="V284" s="95"/>
      <c r="W284" s="95"/>
      <c r="X284" s="95"/>
      <c r="Y284" s="95"/>
      <c r="Z284" s="95"/>
      <c r="AA284" s="95"/>
      <c r="AB284" s="95"/>
      <c r="AC284" s="95"/>
    </row>
    <row r="285" spans="10:29" x14ac:dyDescent="0.35">
      <c r="J285" s="95"/>
      <c r="K285" s="95"/>
      <c r="L285" s="95"/>
      <c r="M285" s="95"/>
      <c r="N285" s="95"/>
      <c r="O285" s="95"/>
      <c r="P285" s="95"/>
      <c r="Q285" s="95"/>
      <c r="R285" s="95"/>
      <c r="S285" s="95"/>
      <c r="T285" s="95"/>
      <c r="U285" s="95"/>
      <c r="V285" s="95"/>
      <c r="W285" s="95"/>
      <c r="X285" s="95"/>
      <c r="Y285" s="95"/>
      <c r="Z285" s="95"/>
      <c r="AA285" s="95"/>
      <c r="AB285" s="95"/>
      <c r="AC285" s="95"/>
    </row>
    <row r="286" spans="10:29" x14ac:dyDescent="0.35">
      <c r="J286" s="95"/>
      <c r="K286" s="95"/>
      <c r="L286" s="95"/>
      <c r="M286" s="95"/>
      <c r="N286" s="95"/>
      <c r="O286" s="95"/>
      <c r="P286" s="95"/>
      <c r="Q286" s="95"/>
      <c r="R286" s="95"/>
      <c r="S286" s="95"/>
      <c r="T286" s="95"/>
      <c r="U286" s="95"/>
      <c r="V286" s="95"/>
      <c r="W286" s="95"/>
      <c r="X286" s="95"/>
      <c r="Y286" s="95"/>
      <c r="Z286" s="95"/>
      <c r="AA286" s="95"/>
      <c r="AB286" s="95"/>
      <c r="AC286" s="95"/>
    </row>
    <row r="287" spans="10:29" x14ac:dyDescent="0.35">
      <c r="J287" s="95"/>
      <c r="K287" s="95"/>
      <c r="L287" s="95"/>
      <c r="M287" s="95"/>
      <c r="N287" s="95"/>
      <c r="O287" s="95"/>
      <c r="P287" s="95"/>
      <c r="Q287" s="95"/>
      <c r="R287" s="95"/>
      <c r="S287" s="95"/>
      <c r="T287" s="95"/>
      <c r="U287" s="95"/>
      <c r="V287" s="95"/>
      <c r="W287" s="95"/>
      <c r="X287" s="95"/>
      <c r="Y287" s="95"/>
      <c r="Z287" s="95"/>
      <c r="AA287" s="95"/>
      <c r="AB287" s="95"/>
      <c r="AC287" s="95"/>
    </row>
    <row r="288" spans="10:29" x14ac:dyDescent="0.35">
      <c r="J288" s="95"/>
      <c r="K288" s="95"/>
      <c r="L288" s="95"/>
      <c r="M288" s="95"/>
      <c r="N288" s="95"/>
      <c r="O288" s="95"/>
      <c r="P288" s="95"/>
      <c r="Q288" s="95"/>
      <c r="R288" s="95"/>
      <c r="S288" s="95"/>
      <c r="T288" s="95"/>
      <c r="U288" s="95"/>
      <c r="V288" s="95"/>
      <c r="W288" s="95"/>
      <c r="X288" s="95"/>
      <c r="Y288" s="95"/>
      <c r="Z288" s="95"/>
      <c r="AA288" s="95"/>
      <c r="AB288" s="95"/>
      <c r="AC288" s="95"/>
    </row>
    <row r="289" spans="10:29" x14ac:dyDescent="0.35">
      <c r="J289" s="95"/>
      <c r="K289" s="95"/>
      <c r="L289" s="95"/>
      <c r="M289" s="95"/>
      <c r="N289" s="95"/>
      <c r="O289" s="95"/>
      <c r="P289" s="95"/>
      <c r="Q289" s="95"/>
      <c r="R289" s="95"/>
      <c r="S289" s="95"/>
      <c r="T289" s="95"/>
      <c r="U289" s="95"/>
      <c r="V289" s="95"/>
      <c r="W289" s="95"/>
      <c r="X289" s="95"/>
      <c r="Y289" s="95"/>
      <c r="Z289" s="95"/>
      <c r="AA289" s="95"/>
      <c r="AB289" s="95"/>
      <c r="AC289" s="95"/>
    </row>
    <row r="290" spans="10:29" x14ac:dyDescent="0.35">
      <c r="J290" s="95"/>
      <c r="K290" s="95"/>
      <c r="L290" s="95"/>
      <c r="M290" s="95"/>
      <c r="N290" s="95"/>
      <c r="O290" s="95"/>
      <c r="P290" s="95"/>
      <c r="Q290" s="95"/>
      <c r="R290" s="95"/>
      <c r="S290" s="95"/>
      <c r="T290" s="95"/>
      <c r="U290" s="95"/>
      <c r="V290" s="95"/>
      <c r="W290" s="95"/>
      <c r="X290" s="95"/>
      <c r="Y290" s="95"/>
      <c r="Z290" s="95"/>
      <c r="AA290" s="95"/>
      <c r="AB290" s="95"/>
      <c r="AC290" s="95"/>
    </row>
    <row r="291" spans="10:29" x14ac:dyDescent="0.35">
      <c r="J291" s="95"/>
      <c r="K291" s="95"/>
      <c r="L291" s="95"/>
      <c r="M291" s="95"/>
      <c r="N291" s="95"/>
      <c r="O291" s="95"/>
      <c r="P291" s="95"/>
      <c r="Q291" s="95"/>
      <c r="R291" s="95"/>
      <c r="S291" s="95"/>
      <c r="T291" s="95"/>
      <c r="U291" s="95"/>
      <c r="V291" s="95"/>
      <c r="W291" s="95"/>
      <c r="X291" s="95"/>
      <c r="Y291" s="95"/>
      <c r="Z291" s="95"/>
      <c r="AA291" s="95"/>
      <c r="AB291" s="95"/>
      <c r="AC291" s="95"/>
    </row>
    <row r="292" spans="10:29" x14ac:dyDescent="0.35">
      <c r="J292" s="95"/>
      <c r="K292" s="95"/>
      <c r="L292" s="95"/>
      <c r="M292" s="95"/>
      <c r="N292" s="95"/>
      <c r="O292" s="95"/>
      <c r="P292" s="95"/>
      <c r="Q292" s="95"/>
      <c r="R292" s="95"/>
      <c r="S292" s="95"/>
      <c r="T292" s="95"/>
      <c r="U292" s="95"/>
      <c r="V292" s="95"/>
      <c r="W292" s="95"/>
      <c r="X292" s="95"/>
      <c r="Y292" s="95"/>
      <c r="Z292" s="95"/>
      <c r="AA292" s="95"/>
      <c r="AB292" s="95"/>
      <c r="AC292" s="95"/>
    </row>
    <row r="293" spans="10:29" x14ac:dyDescent="0.35">
      <c r="J293" s="95"/>
      <c r="K293" s="95"/>
      <c r="L293" s="95"/>
      <c r="M293" s="95"/>
      <c r="N293" s="95"/>
      <c r="O293" s="95"/>
      <c r="P293" s="95"/>
      <c r="Q293" s="95"/>
      <c r="R293" s="95"/>
      <c r="S293" s="95"/>
      <c r="T293" s="95"/>
      <c r="U293" s="95"/>
      <c r="V293" s="95"/>
      <c r="W293" s="95"/>
      <c r="X293" s="95"/>
      <c r="Y293" s="95"/>
      <c r="Z293" s="95"/>
      <c r="AA293" s="95"/>
      <c r="AB293" s="95"/>
      <c r="AC293" s="95"/>
    </row>
    <row r="294" spans="10:29" x14ac:dyDescent="0.35">
      <c r="J294" s="95"/>
      <c r="K294" s="95"/>
      <c r="L294" s="95"/>
      <c r="M294" s="95"/>
      <c r="N294" s="95"/>
      <c r="O294" s="95"/>
      <c r="P294" s="95"/>
      <c r="Q294" s="95"/>
      <c r="R294" s="95"/>
      <c r="S294" s="95"/>
      <c r="T294" s="95"/>
      <c r="U294" s="95"/>
      <c r="V294" s="95"/>
      <c r="W294" s="95"/>
      <c r="X294" s="95"/>
      <c r="Y294" s="95"/>
      <c r="Z294" s="95"/>
      <c r="AA294" s="95"/>
      <c r="AB294" s="95"/>
      <c r="AC294" s="95"/>
    </row>
    <row r="295" spans="10:29" x14ac:dyDescent="0.35">
      <c r="J295" s="95"/>
      <c r="K295" s="95"/>
      <c r="L295" s="95"/>
      <c r="M295" s="95"/>
      <c r="N295" s="95"/>
      <c r="O295" s="95"/>
      <c r="P295" s="95"/>
      <c r="Q295" s="95"/>
      <c r="R295" s="95"/>
      <c r="S295" s="95"/>
      <c r="T295" s="95"/>
      <c r="U295" s="95"/>
      <c r="V295" s="95"/>
      <c r="W295" s="95"/>
      <c r="X295" s="95"/>
      <c r="Y295" s="95"/>
      <c r="Z295" s="95"/>
      <c r="AA295" s="95"/>
      <c r="AB295" s="95"/>
      <c r="AC295" s="95"/>
    </row>
    <row r="296" spans="10:29" x14ac:dyDescent="0.35">
      <c r="J296" s="95"/>
      <c r="K296" s="95"/>
      <c r="L296" s="95"/>
      <c r="M296" s="95"/>
      <c r="N296" s="95"/>
      <c r="O296" s="95"/>
      <c r="P296" s="95"/>
      <c r="Q296" s="95"/>
      <c r="R296" s="95"/>
      <c r="S296" s="95"/>
      <c r="T296" s="95"/>
      <c r="U296" s="95"/>
      <c r="V296" s="95"/>
      <c r="W296" s="95"/>
      <c r="X296" s="95"/>
      <c r="Y296" s="95"/>
      <c r="Z296" s="95"/>
      <c r="AA296" s="95"/>
      <c r="AB296" s="95"/>
      <c r="AC296" s="95"/>
    </row>
    <row r="297" spans="10:29" x14ac:dyDescent="0.35">
      <c r="J297" s="95"/>
      <c r="K297" s="95"/>
      <c r="L297" s="95"/>
      <c r="M297" s="95"/>
      <c r="N297" s="95"/>
      <c r="O297" s="95"/>
      <c r="P297" s="95"/>
      <c r="Q297" s="95"/>
      <c r="R297" s="95"/>
      <c r="S297" s="95"/>
      <c r="T297" s="95"/>
      <c r="U297" s="95"/>
      <c r="V297" s="95"/>
      <c r="W297" s="95"/>
      <c r="X297" s="95"/>
      <c r="Y297" s="95"/>
      <c r="Z297" s="95"/>
      <c r="AA297" s="95"/>
      <c r="AB297" s="95"/>
      <c r="AC297" s="95"/>
    </row>
    <row r="298" spans="10:29" x14ac:dyDescent="0.35">
      <c r="J298" s="95"/>
      <c r="K298" s="95"/>
      <c r="L298" s="95"/>
      <c r="M298" s="95"/>
      <c r="N298" s="95"/>
      <c r="O298" s="95"/>
      <c r="P298" s="95"/>
      <c r="Q298" s="95"/>
      <c r="R298" s="95"/>
      <c r="S298" s="95"/>
      <c r="T298" s="95"/>
      <c r="U298" s="95"/>
      <c r="V298" s="95"/>
      <c r="W298" s="95"/>
      <c r="X298" s="95"/>
      <c r="Y298" s="95"/>
      <c r="Z298" s="95"/>
      <c r="AA298" s="95"/>
      <c r="AB298" s="95"/>
      <c r="AC298" s="95"/>
    </row>
    <row r="299" spans="10:29" x14ac:dyDescent="0.35">
      <c r="J299" s="95"/>
      <c r="K299" s="95"/>
      <c r="L299" s="95"/>
      <c r="M299" s="95"/>
      <c r="N299" s="95"/>
      <c r="O299" s="95"/>
      <c r="P299" s="95"/>
      <c r="Q299" s="95"/>
      <c r="R299" s="95"/>
      <c r="S299" s="95"/>
      <c r="T299" s="95"/>
      <c r="U299" s="95"/>
      <c r="V299" s="95"/>
      <c r="W299" s="95"/>
      <c r="X299" s="95"/>
      <c r="Y299" s="95"/>
      <c r="Z299" s="95"/>
      <c r="AA299" s="95"/>
      <c r="AB299" s="95"/>
      <c r="AC299" s="95"/>
    </row>
    <row r="300" spans="10:29" x14ac:dyDescent="0.35">
      <c r="J300" s="95"/>
      <c r="K300" s="95"/>
      <c r="L300" s="95"/>
      <c r="M300" s="95"/>
      <c r="N300" s="95"/>
      <c r="O300" s="95"/>
      <c r="P300" s="95"/>
      <c r="Q300" s="95"/>
      <c r="R300" s="95"/>
      <c r="S300" s="95"/>
      <c r="T300" s="95"/>
      <c r="U300" s="95"/>
      <c r="V300" s="95"/>
      <c r="W300" s="95"/>
      <c r="X300" s="95"/>
      <c r="Y300" s="95"/>
      <c r="Z300" s="95"/>
      <c r="AA300" s="95"/>
      <c r="AB300" s="95"/>
      <c r="AC300" s="95"/>
    </row>
    <row r="301" spans="10:29" x14ac:dyDescent="0.35">
      <c r="J301" s="95"/>
      <c r="K301" s="95"/>
      <c r="L301" s="95"/>
      <c r="M301" s="95"/>
      <c r="N301" s="95"/>
      <c r="O301" s="95"/>
      <c r="P301" s="95"/>
      <c r="Q301" s="95"/>
      <c r="R301" s="95"/>
      <c r="S301" s="95"/>
      <c r="T301" s="95"/>
      <c r="U301" s="95"/>
      <c r="V301" s="95"/>
      <c r="W301" s="95"/>
      <c r="X301" s="95"/>
      <c r="Y301" s="95"/>
      <c r="Z301" s="95"/>
      <c r="AA301" s="95"/>
      <c r="AB301" s="95"/>
      <c r="AC301" s="95"/>
    </row>
    <row r="302" spans="10:29" x14ac:dyDescent="0.35">
      <c r="J302" s="95"/>
      <c r="K302" s="95"/>
      <c r="L302" s="95"/>
      <c r="M302" s="95"/>
      <c r="N302" s="95"/>
      <c r="O302" s="95"/>
      <c r="P302" s="95"/>
      <c r="Q302" s="95"/>
      <c r="R302" s="95"/>
      <c r="S302" s="95"/>
      <c r="T302" s="95"/>
      <c r="U302" s="95"/>
      <c r="V302" s="95"/>
      <c r="W302" s="95"/>
      <c r="X302" s="95"/>
      <c r="Y302" s="95"/>
      <c r="Z302" s="95"/>
      <c r="AA302" s="95"/>
      <c r="AB302" s="95"/>
      <c r="AC302" s="95"/>
    </row>
    <row r="303" spans="10:29" x14ac:dyDescent="0.35">
      <c r="J303" s="95"/>
      <c r="K303" s="95"/>
      <c r="L303" s="95"/>
      <c r="M303" s="95"/>
      <c r="N303" s="95"/>
      <c r="O303" s="95"/>
      <c r="P303" s="95"/>
      <c r="Q303" s="95"/>
      <c r="R303" s="95"/>
      <c r="S303" s="95"/>
      <c r="T303" s="95"/>
      <c r="U303" s="95"/>
      <c r="V303" s="95"/>
      <c r="W303" s="95"/>
      <c r="X303" s="95"/>
      <c r="Y303" s="95"/>
      <c r="Z303" s="95"/>
      <c r="AA303" s="95"/>
      <c r="AB303" s="95"/>
      <c r="AC303" s="95"/>
    </row>
    <row r="304" spans="10:29" x14ac:dyDescent="0.35">
      <c r="J304" s="95"/>
      <c r="K304" s="95"/>
      <c r="L304" s="95"/>
      <c r="M304" s="95"/>
      <c r="N304" s="95"/>
      <c r="O304" s="95"/>
      <c r="P304" s="95"/>
      <c r="Q304" s="95"/>
      <c r="R304" s="95"/>
      <c r="S304" s="95"/>
      <c r="T304" s="95"/>
      <c r="U304" s="95"/>
      <c r="V304" s="95"/>
      <c r="W304" s="95"/>
      <c r="X304" s="95"/>
      <c r="Y304" s="95"/>
      <c r="Z304" s="95"/>
      <c r="AA304" s="95"/>
      <c r="AB304" s="95"/>
      <c r="AC304" s="95"/>
    </row>
    <row r="305" spans="10:29" x14ac:dyDescent="0.35">
      <c r="J305" s="95"/>
      <c r="K305" s="95"/>
      <c r="L305" s="95"/>
      <c r="M305" s="95"/>
      <c r="N305" s="95"/>
      <c r="O305" s="95"/>
      <c r="P305" s="95"/>
      <c r="Q305" s="95"/>
      <c r="R305" s="95"/>
      <c r="S305" s="95"/>
      <c r="T305" s="95"/>
      <c r="U305" s="95"/>
      <c r="V305" s="95"/>
      <c r="W305" s="95"/>
      <c r="X305" s="95"/>
      <c r="Y305" s="95"/>
      <c r="Z305" s="95"/>
      <c r="AA305" s="95"/>
      <c r="AB305" s="95"/>
      <c r="AC305" s="95"/>
    </row>
    <row r="306" spans="10:29" x14ac:dyDescent="0.35">
      <c r="J306" s="95"/>
      <c r="K306" s="95"/>
      <c r="L306" s="95"/>
      <c r="M306" s="95"/>
      <c r="N306" s="95"/>
      <c r="O306" s="95"/>
      <c r="P306" s="95"/>
      <c r="Q306" s="95"/>
      <c r="R306" s="95"/>
      <c r="S306" s="95"/>
      <c r="T306" s="95"/>
      <c r="U306" s="95"/>
      <c r="V306" s="95"/>
      <c r="W306" s="95"/>
      <c r="X306" s="95"/>
      <c r="Y306" s="95"/>
      <c r="Z306" s="95"/>
      <c r="AA306" s="95"/>
      <c r="AB306" s="95"/>
      <c r="AC306" s="95"/>
    </row>
    <row r="307" spans="10:29" x14ac:dyDescent="0.35">
      <c r="J307" s="95"/>
      <c r="K307" s="95"/>
      <c r="L307" s="95"/>
      <c r="M307" s="95"/>
      <c r="N307" s="95"/>
      <c r="O307" s="95"/>
      <c r="P307" s="95"/>
      <c r="Q307" s="95"/>
      <c r="R307" s="95"/>
      <c r="S307" s="95"/>
      <c r="T307" s="95"/>
      <c r="U307" s="95"/>
      <c r="V307" s="95"/>
      <c r="W307" s="95"/>
      <c r="X307" s="95"/>
      <c r="Y307" s="95"/>
      <c r="Z307" s="95"/>
      <c r="AA307" s="95"/>
      <c r="AB307" s="95"/>
      <c r="AC307" s="95"/>
    </row>
    <row r="308" spans="10:29" x14ac:dyDescent="0.35">
      <c r="J308" s="95"/>
      <c r="K308" s="95"/>
      <c r="L308" s="95"/>
      <c r="M308" s="95"/>
      <c r="N308" s="95"/>
      <c r="O308" s="95"/>
      <c r="P308" s="95"/>
      <c r="Q308" s="95"/>
      <c r="R308" s="95"/>
      <c r="S308" s="95"/>
      <c r="T308" s="95"/>
      <c r="U308" s="95"/>
      <c r="V308" s="95"/>
      <c r="W308" s="95"/>
      <c r="X308" s="95"/>
      <c r="Y308" s="95"/>
      <c r="Z308" s="95"/>
      <c r="AA308" s="95"/>
      <c r="AB308" s="95"/>
      <c r="AC308" s="95"/>
    </row>
    <row r="309" spans="10:29" x14ac:dyDescent="0.35">
      <c r="J309" s="95"/>
      <c r="K309" s="95"/>
      <c r="L309" s="95"/>
      <c r="M309" s="95"/>
      <c r="N309" s="95"/>
      <c r="O309" s="95"/>
      <c r="P309" s="95"/>
      <c r="Q309" s="95"/>
      <c r="R309" s="95"/>
      <c r="S309" s="95"/>
      <c r="T309" s="95"/>
      <c r="U309" s="95"/>
      <c r="V309" s="95"/>
      <c r="W309" s="95"/>
      <c r="X309" s="95"/>
      <c r="Y309" s="95"/>
      <c r="Z309" s="95"/>
      <c r="AA309" s="95"/>
      <c r="AB309" s="95"/>
      <c r="AC309" s="95"/>
    </row>
    <row r="310" spans="10:29" x14ac:dyDescent="0.35">
      <c r="J310" s="95"/>
      <c r="K310" s="95"/>
      <c r="L310" s="95"/>
      <c r="M310" s="95"/>
      <c r="N310" s="95"/>
      <c r="O310" s="95"/>
      <c r="P310" s="95"/>
      <c r="Q310" s="95"/>
      <c r="R310" s="95"/>
      <c r="S310" s="95"/>
      <c r="T310" s="95"/>
      <c r="U310" s="95"/>
      <c r="V310" s="95"/>
      <c r="W310" s="95"/>
      <c r="X310" s="95"/>
      <c r="Y310" s="95"/>
      <c r="Z310" s="95"/>
      <c r="AA310" s="95"/>
      <c r="AB310" s="95"/>
      <c r="AC310" s="95"/>
    </row>
    <row r="311" spans="10:29" x14ac:dyDescent="0.35">
      <c r="J311" s="95"/>
      <c r="K311" s="95"/>
      <c r="L311" s="95"/>
      <c r="M311" s="95"/>
      <c r="N311" s="95"/>
      <c r="O311" s="95"/>
      <c r="P311" s="95"/>
      <c r="Q311" s="95"/>
      <c r="R311" s="95"/>
      <c r="S311" s="95"/>
      <c r="T311" s="95"/>
      <c r="U311" s="95"/>
      <c r="V311" s="95"/>
      <c r="W311" s="95"/>
      <c r="X311" s="95"/>
      <c r="Y311" s="95"/>
      <c r="Z311" s="95"/>
      <c r="AA311" s="95"/>
      <c r="AB311" s="95"/>
      <c r="AC311" s="95"/>
    </row>
    <row r="312" spans="10:29" x14ac:dyDescent="0.35">
      <c r="J312" s="95"/>
      <c r="K312" s="95"/>
      <c r="L312" s="95"/>
      <c r="M312" s="95"/>
      <c r="N312" s="95"/>
      <c r="O312" s="95"/>
      <c r="P312" s="95"/>
      <c r="Q312" s="95"/>
      <c r="R312" s="95"/>
      <c r="S312" s="95"/>
      <c r="T312" s="95"/>
      <c r="U312" s="95"/>
      <c r="V312" s="95"/>
      <c r="W312" s="95"/>
      <c r="X312" s="95"/>
      <c r="Y312" s="95"/>
      <c r="Z312" s="95"/>
      <c r="AA312" s="95"/>
      <c r="AB312" s="95"/>
      <c r="AC312" s="95"/>
    </row>
    <row r="313" spans="10:29" x14ac:dyDescent="0.35">
      <c r="J313" s="95"/>
      <c r="K313" s="95"/>
      <c r="L313" s="95"/>
      <c r="M313" s="95"/>
      <c r="N313" s="95"/>
      <c r="O313" s="95"/>
      <c r="P313" s="95"/>
      <c r="Q313" s="95"/>
      <c r="R313" s="95"/>
      <c r="S313" s="95"/>
      <c r="T313" s="95"/>
      <c r="U313" s="95"/>
      <c r="V313" s="95"/>
      <c r="W313" s="95"/>
      <c r="X313" s="95"/>
      <c r="Y313" s="95"/>
      <c r="Z313" s="95"/>
      <c r="AA313" s="95"/>
      <c r="AB313" s="95"/>
      <c r="AC313" s="95"/>
    </row>
    <row r="314" spans="10:29" x14ac:dyDescent="0.35">
      <c r="J314" s="95"/>
      <c r="K314" s="95"/>
      <c r="L314" s="95"/>
      <c r="M314" s="95"/>
      <c r="N314" s="95"/>
      <c r="O314" s="95"/>
      <c r="P314" s="95"/>
      <c r="Q314" s="95"/>
      <c r="R314" s="95"/>
      <c r="S314" s="95"/>
      <c r="T314" s="95"/>
      <c r="U314" s="95"/>
      <c r="V314" s="95"/>
      <c r="W314" s="95"/>
      <c r="X314" s="95"/>
      <c r="Y314" s="95"/>
      <c r="Z314" s="95"/>
      <c r="AA314" s="95"/>
      <c r="AB314" s="95"/>
      <c r="AC314" s="95"/>
    </row>
    <row r="315" spans="10:29" x14ac:dyDescent="0.35">
      <c r="J315" s="95"/>
      <c r="K315" s="95"/>
      <c r="L315" s="95"/>
      <c r="M315" s="95"/>
      <c r="N315" s="95"/>
      <c r="O315" s="95"/>
      <c r="P315" s="95"/>
      <c r="Q315" s="95"/>
      <c r="R315" s="95"/>
      <c r="S315" s="95"/>
      <c r="T315" s="95"/>
      <c r="U315" s="95"/>
      <c r="V315" s="95"/>
      <c r="W315" s="95"/>
      <c r="X315" s="95"/>
      <c r="Y315" s="95"/>
      <c r="Z315" s="95"/>
      <c r="AA315" s="95"/>
      <c r="AB315" s="95"/>
      <c r="AC315" s="95"/>
    </row>
    <row r="316" spans="10:29" x14ac:dyDescent="0.35">
      <c r="J316" s="95"/>
      <c r="K316" s="95"/>
      <c r="L316" s="95"/>
      <c r="M316" s="95"/>
      <c r="N316" s="95"/>
      <c r="O316" s="95"/>
      <c r="P316" s="95"/>
      <c r="Q316" s="95"/>
      <c r="R316" s="95"/>
      <c r="S316" s="95"/>
      <c r="T316" s="95"/>
      <c r="U316" s="95"/>
      <c r="V316" s="95"/>
      <c r="W316" s="95"/>
      <c r="X316" s="95"/>
      <c r="Y316" s="95"/>
      <c r="Z316" s="95"/>
      <c r="AA316" s="95"/>
      <c r="AB316" s="95"/>
      <c r="AC316" s="95"/>
    </row>
    <row r="317" spans="10:29" x14ac:dyDescent="0.35">
      <c r="J317" s="95"/>
      <c r="K317" s="95"/>
      <c r="L317" s="95"/>
      <c r="M317" s="95"/>
      <c r="N317" s="95"/>
      <c r="O317" s="95"/>
      <c r="P317" s="95"/>
      <c r="Q317" s="95"/>
      <c r="R317" s="95"/>
      <c r="S317" s="95"/>
      <c r="T317" s="95"/>
      <c r="U317" s="95"/>
      <c r="V317" s="95"/>
      <c r="W317" s="95"/>
      <c r="X317" s="95"/>
      <c r="Y317" s="95"/>
      <c r="Z317" s="95"/>
      <c r="AA317" s="95"/>
      <c r="AB317" s="95"/>
      <c r="AC317" s="95"/>
    </row>
    <row r="318" spans="10:29" x14ac:dyDescent="0.35">
      <c r="J318" s="95"/>
      <c r="K318" s="95"/>
      <c r="L318" s="95"/>
      <c r="M318" s="95"/>
      <c r="N318" s="95"/>
      <c r="O318" s="95"/>
      <c r="P318" s="95"/>
      <c r="Q318" s="95"/>
      <c r="R318" s="95"/>
      <c r="S318" s="95"/>
      <c r="T318" s="95"/>
      <c r="U318" s="95"/>
      <c r="V318" s="95"/>
      <c r="W318" s="95"/>
      <c r="X318" s="95"/>
      <c r="Y318" s="95"/>
      <c r="Z318" s="95"/>
      <c r="AA318" s="95"/>
      <c r="AB318" s="95"/>
      <c r="AC318" s="95"/>
    </row>
    <row r="319" spans="10:29" x14ac:dyDescent="0.35">
      <c r="J319" s="95"/>
      <c r="K319" s="95"/>
      <c r="L319" s="95"/>
      <c r="M319" s="95"/>
      <c r="N319" s="95"/>
      <c r="O319" s="95"/>
      <c r="P319" s="95"/>
      <c r="Q319" s="95"/>
      <c r="R319" s="95"/>
      <c r="S319" s="95"/>
      <c r="T319" s="95"/>
      <c r="U319" s="95"/>
      <c r="V319" s="95"/>
      <c r="W319" s="95"/>
      <c r="X319" s="95"/>
      <c r="Y319" s="95"/>
      <c r="Z319" s="95"/>
      <c r="AA319" s="95"/>
      <c r="AB319" s="95"/>
      <c r="AC319" s="95"/>
    </row>
    <row r="320" spans="10:29" x14ac:dyDescent="0.35">
      <c r="J320" s="95"/>
      <c r="K320" s="95"/>
      <c r="L320" s="95"/>
      <c r="M320" s="95"/>
      <c r="N320" s="95"/>
      <c r="O320" s="95"/>
      <c r="P320" s="95"/>
      <c r="Q320" s="95"/>
      <c r="R320" s="95"/>
      <c r="S320" s="95"/>
      <c r="T320" s="95"/>
      <c r="U320" s="95"/>
      <c r="V320" s="95"/>
      <c r="W320" s="95"/>
      <c r="X320" s="95"/>
      <c r="Y320" s="95"/>
      <c r="Z320" s="95"/>
      <c r="AA320" s="95"/>
      <c r="AB320" s="95"/>
      <c r="AC320" s="95"/>
    </row>
    <row r="321" spans="10:29" x14ac:dyDescent="0.35">
      <c r="J321" s="95"/>
      <c r="K321" s="95"/>
      <c r="L321" s="95"/>
      <c r="M321" s="95"/>
      <c r="N321" s="95"/>
      <c r="O321" s="95"/>
      <c r="P321" s="95"/>
      <c r="Q321" s="95"/>
      <c r="R321" s="95"/>
      <c r="S321" s="95"/>
      <c r="T321" s="95"/>
      <c r="U321" s="95"/>
      <c r="V321" s="95"/>
      <c r="W321" s="95"/>
      <c r="X321" s="95"/>
      <c r="Y321" s="95"/>
      <c r="Z321" s="95"/>
      <c r="AA321" s="95"/>
      <c r="AB321" s="95"/>
      <c r="AC321" s="95"/>
    </row>
    <row r="322" spans="10:29" x14ac:dyDescent="0.35">
      <c r="J322" s="95"/>
      <c r="K322" s="95"/>
      <c r="L322" s="95"/>
      <c r="M322" s="95"/>
      <c r="N322" s="95"/>
      <c r="O322" s="95"/>
      <c r="P322" s="95"/>
      <c r="Q322" s="95"/>
      <c r="R322" s="95"/>
      <c r="S322" s="95"/>
      <c r="T322" s="95"/>
      <c r="U322" s="95"/>
      <c r="V322" s="95"/>
      <c r="W322" s="95"/>
      <c r="X322" s="95"/>
      <c r="Y322" s="95"/>
      <c r="Z322" s="95"/>
      <c r="AA322" s="95"/>
      <c r="AB322" s="95"/>
      <c r="AC322" s="95"/>
    </row>
    <row r="323" spans="10:29" x14ac:dyDescent="0.35">
      <c r="J323" s="95"/>
      <c r="K323" s="95"/>
      <c r="L323" s="95"/>
      <c r="M323" s="95"/>
      <c r="N323" s="95"/>
      <c r="O323" s="95"/>
      <c r="P323" s="95"/>
      <c r="Q323" s="95"/>
      <c r="R323" s="95"/>
      <c r="S323" s="95"/>
      <c r="T323" s="95"/>
      <c r="U323" s="95"/>
      <c r="V323" s="95"/>
      <c r="W323" s="95"/>
      <c r="X323" s="95"/>
      <c r="Y323" s="95"/>
      <c r="Z323" s="95"/>
      <c r="AA323" s="95"/>
      <c r="AB323" s="95"/>
      <c r="AC323" s="95"/>
    </row>
    <row r="324" spans="10:29" x14ac:dyDescent="0.35">
      <c r="J324" s="95"/>
      <c r="K324" s="95"/>
      <c r="L324" s="95"/>
      <c r="M324" s="95"/>
      <c r="N324" s="95"/>
      <c r="O324" s="95"/>
      <c r="P324" s="95"/>
      <c r="Q324" s="95"/>
      <c r="R324" s="95"/>
      <c r="S324" s="95"/>
      <c r="T324" s="95"/>
      <c r="U324" s="95"/>
      <c r="V324" s="95"/>
      <c r="W324" s="95"/>
      <c r="X324" s="95"/>
      <c r="Y324" s="95"/>
      <c r="Z324" s="95"/>
      <c r="AA324" s="95"/>
      <c r="AB324" s="95"/>
      <c r="AC324" s="95"/>
    </row>
    <row r="325" spans="10:29" x14ac:dyDescent="0.35">
      <c r="J325" s="95"/>
      <c r="K325" s="95"/>
      <c r="L325" s="95"/>
      <c r="M325" s="95"/>
      <c r="N325" s="95"/>
      <c r="O325" s="95"/>
      <c r="P325" s="95"/>
      <c r="Q325" s="95"/>
      <c r="R325" s="95"/>
      <c r="S325" s="95"/>
      <c r="T325" s="95"/>
      <c r="U325" s="95"/>
      <c r="V325" s="95"/>
      <c r="W325" s="95"/>
      <c r="X325" s="95"/>
      <c r="Y325" s="95"/>
      <c r="Z325" s="95"/>
      <c r="AA325" s="95"/>
      <c r="AB325" s="95"/>
      <c r="AC325" s="95"/>
    </row>
    <row r="326" spans="10:29" x14ac:dyDescent="0.35">
      <c r="J326" s="95"/>
      <c r="K326" s="95"/>
      <c r="L326" s="95"/>
      <c r="M326" s="95"/>
      <c r="N326" s="95"/>
      <c r="O326" s="95"/>
      <c r="P326" s="95"/>
      <c r="Q326" s="95"/>
      <c r="R326" s="95"/>
      <c r="S326" s="95"/>
      <c r="T326" s="95"/>
      <c r="U326" s="95"/>
      <c r="V326" s="95"/>
      <c r="W326" s="95"/>
      <c r="X326" s="95"/>
      <c r="Y326" s="95"/>
      <c r="Z326" s="95"/>
      <c r="AA326" s="95"/>
      <c r="AB326" s="95"/>
      <c r="AC326" s="95"/>
    </row>
    <row r="327" spans="10:29" x14ac:dyDescent="0.35">
      <c r="J327" s="95"/>
      <c r="K327" s="95"/>
      <c r="L327" s="95"/>
      <c r="M327" s="95"/>
      <c r="N327" s="95"/>
      <c r="O327" s="95"/>
      <c r="P327" s="95"/>
      <c r="Q327" s="95"/>
      <c r="R327" s="95"/>
      <c r="S327" s="95"/>
      <c r="T327" s="95"/>
      <c r="U327" s="95"/>
      <c r="V327" s="95"/>
      <c r="W327" s="95"/>
      <c r="X327" s="95"/>
      <c r="Y327" s="95"/>
      <c r="Z327" s="95"/>
      <c r="AA327" s="95"/>
      <c r="AB327" s="95"/>
      <c r="AC327" s="95"/>
    </row>
    <row r="328" spans="10:29" x14ac:dyDescent="0.35">
      <c r="J328" s="95"/>
      <c r="K328" s="95"/>
      <c r="L328" s="95"/>
      <c r="M328" s="95"/>
      <c r="N328" s="95"/>
      <c r="O328" s="95"/>
      <c r="P328" s="95"/>
      <c r="Q328" s="95"/>
      <c r="R328" s="95"/>
      <c r="S328" s="95"/>
      <c r="T328" s="95"/>
      <c r="U328" s="95"/>
      <c r="V328" s="95"/>
      <c r="W328" s="95"/>
      <c r="X328" s="95"/>
      <c r="Y328" s="95"/>
      <c r="Z328" s="95"/>
      <c r="AA328" s="95"/>
      <c r="AB328" s="95"/>
      <c r="AC328" s="95"/>
    </row>
    <row r="329" spans="10:29" x14ac:dyDescent="0.35">
      <c r="J329" s="95"/>
      <c r="K329" s="95"/>
      <c r="L329" s="95"/>
      <c r="M329" s="95"/>
      <c r="N329" s="95"/>
      <c r="O329" s="95"/>
      <c r="P329" s="95"/>
      <c r="Q329" s="95"/>
      <c r="R329" s="95"/>
      <c r="S329" s="95"/>
      <c r="T329" s="95"/>
      <c r="U329" s="95"/>
      <c r="V329" s="95"/>
      <c r="W329" s="95"/>
      <c r="X329" s="95"/>
      <c r="Y329" s="95"/>
      <c r="Z329" s="95"/>
      <c r="AA329" s="95"/>
      <c r="AB329" s="95"/>
      <c r="AC329" s="95"/>
    </row>
    <row r="330" spans="10:29" x14ac:dyDescent="0.35">
      <c r="J330" s="95"/>
      <c r="K330" s="95"/>
      <c r="L330" s="95"/>
      <c r="M330" s="95"/>
      <c r="N330" s="95"/>
      <c r="O330" s="95"/>
      <c r="P330" s="95"/>
      <c r="Q330" s="95"/>
      <c r="R330" s="95"/>
      <c r="S330" s="95"/>
      <c r="T330" s="95"/>
      <c r="U330" s="95"/>
      <c r="V330" s="95"/>
      <c r="W330" s="95"/>
      <c r="X330" s="95"/>
      <c r="Y330" s="95"/>
      <c r="Z330" s="95"/>
      <c r="AA330" s="95"/>
      <c r="AB330" s="95"/>
      <c r="AC330" s="95"/>
    </row>
    <row r="331" spans="10:29" x14ac:dyDescent="0.35">
      <c r="J331" s="95"/>
      <c r="K331" s="95"/>
      <c r="L331" s="95"/>
      <c r="M331" s="95"/>
      <c r="N331" s="95"/>
      <c r="O331" s="95"/>
      <c r="P331" s="95"/>
      <c r="Q331" s="95"/>
      <c r="R331" s="95"/>
      <c r="S331" s="95"/>
      <c r="T331" s="95"/>
      <c r="U331" s="95"/>
      <c r="V331" s="95"/>
      <c r="W331" s="95"/>
      <c r="X331" s="95"/>
      <c r="Y331" s="95"/>
      <c r="Z331" s="95"/>
      <c r="AA331" s="95"/>
      <c r="AB331" s="95"/>
      <c r="AC331" s="95"/>
    </row>
    <row r="332" spans="10:29" x14ac:dyDescent="0.35">
      <c r="J332" s="95"/>
      <c r="K332" s="95"/>
      <c r="L332" s="95"/>
      <c r="M332" s="95"/>
      <c r="N332" s="95"/>
      <c r="O332" s="95"/>
      <c r="P332" s="95"/>
      <c r="Q332" s="95"/>
      <c r="R332" s="95"/>
      <c r="S332" s="95"/>
      <c r="T332" s="95"/>
      <c r="U332" s="95"/>
      <c r="V332" s="95"/>
      <c r="W332" s="95"/>
      <c r="X332" s="95"/>
      <c r="Y332" s="95"/>
      <c r="Z332" s="95"/>
      <c r="AA332" s="95"/>
      <c r="AB332" s="95"/>
      <c r="AC332" s="95"/>
    </row>
    <row r="333" spans="10:29" x14ac:dyDescent="0.35">
      <c r="J333" s="95"/>
      <c r="K333" s="95"/>
      <c r="L333" s="95"/>
      <c r="M333" s="95"/>
      <c r="N333" s="95"/>
      <c r="O333" s="95"/>
      <c r="P333" s="95"/>
      <c r="Q333" s="95"/>
      <c r="R333" s="95"/>
      <c r="S333" s="95"/>
      <c r="T333" s="95"/>
      <c r="U333" s="95"/>
      <c r="V333" s="95"/>
      <c r="W333" s="95"/>
      <c r="X333" s="95"/>
      <c r="Y333" s="95"/>
      <c r="Z333" s="95"/>
      <c r="AA333" s="95"/>
      <c r="AB333" s="95"/>
      <c r="AC333" s="95"/>
    </row>
    <row r="334" spans="10:29" x14ac:dyDescent="0.35">
      <c r="J334" s="95"/>
      <c r="K334" s="95"/>
      <c r="L334" s="95"/>
      <c r="M334" s="95"/>
      <c r="N334" s="95"/>
      <c r="O334" s="95"/>
      <c r="P334" s="95"/>
      <c r="Q334" s="95"/>
      <c r="R334" s="95"/>
      <c r="S334" s="95"/>
      <c r="T334" s="95"/>
      <c r="U334" s="95"/>
      <c r="V334" s="95"/>
      <c r="W334" s="95"/>
      <c r="X334" s="95"/>
      <c r="Y334" s="95"/>
      <c r="Z334" s="95"/>
      <c r="AA334" s="95"/>
      <c r="AB334" s="95"/>
      <c r="AC334" s="95"/>
    </row>
    <row r="335" spans="10:29" x14ac:dyDescent="0.35">
      <c r="J335" s="95"/>
      <c r="K335" s="95"/>
      <c r="L335" s="95"/>
      <c r="M335" s="95"/>
      <c r="N335" s="95"/>
      <c r="O335" s="95"/>
      <c r="P335" s="95"/>
      <c r="Q335" s="95"/>
      <c r="R335" s="95"/>
      <c r="S335" s="95"/>
      <c r="T335" s="95"/>
      <c r="U335" s="95"/>
      <c r="V335" s="95"/>
      <c r="W335" s="95"/>
      <c r="X335" s="95"/>
      <c r="Y335" s="95"/>
      <c r="Z335" s="95"/>
      <c r="AA335" s="95"/>
      <c r="AB335" s="95"/>
      <c r="AC335" s="95"/>
    </row>
    <row r="336" spans="10:29" x14ac:dyDescent="0.35">
      <c r="J336" s="95"/>
      <c r="K336" s="95"/>
      <c r="L336" s="95"/>
      <c r="M336" s="95"/>
      <c r="N336" s="95"/>
      <c r="O336" s="95"/>
      <c r="P336" s="95"/>
      <c r="Q336" s="95"/>
      <c r="R336" s="95"/>
      <c r="S336" s="95"/>
      <c r="T336" s="95"/>
      <c r="U336" s="95"/>
      <c r="V336" s="95"/>
      <c r="W336" s="95"/>
      <c r="X336" s="95"/>
      <c r="Y336" s="95"/>
      <c r="Z336" s="95"/>
      <c r="AA336" s="95"/>
      <c r="AB336" s="95"/>
      <c r="AC336" s="95"/>
    </row>
    <row r="337" spans="10:29" x14ac:dyDescent="0.35">
      <c r="J337" s="95"/>
      <c r="K337" s="95"/>
      <c r="L337" s="95"/>
      <c r="M337" s="95"/>
      <c r="N337" s="95"/>
      <c r="O337" s="95"/>
      <c r="P337" s="95"/>
      <c r="Q337" s="95"/>
      <c r="R337" s="95"/>
      <c r="S337" s="95"/>
      <c r="T337" s="95"/>
      <c r="U337" s="95"/>
      <c r="V337" s="95"/>
      <c r="W337" s="95"/>
      <c r="X337" s="95"/>
      <c r="Y337" s="95"/>
      <c r="Z337" s="95"/>
      <c r="AA337" s="95"/>
      <c r="AB337" s="95"/>
      <c r="AC337" s="95"/>
    </row>
    <row r="338" spans="10:29" x14ac:dyDescent="0.35">
      <c r="J338" s="95"/>
      <c r="K338" s="95"/>
      <c r="L338" s="95"/>
      <c r="M338" s="95"/>
      <c r="N338" s="95"/>
      <c r="O338" s="95"/>
      <c r="P338" s="95"/>
      <c r="Q338" s="95"/>
      <c r="R338" s="95"/>
      <c r="S338" s="95"/>
      <c r="T338" s="95"/>
      <c r="U338" s="95"/>
      <c r="V338" s="95"/>
      <c r="W338" s="95"/>
      <c r="X338" s="95"/>
      <c r="Y338" s="95"/>
      <c r="Z338" s="95"/>
      <c r="AA338" s="95"/>
      <c r="AB338" s="95"/>
      <c r="AC338" s="95"/>
    </row>
    <row r="339" spans="10:29" x14ac:dyDescent="0.35">
      <c r="J339" s="95"/>
      <c r="K339" s="95"/>
      <c r="L339" s="95"/>
      <c r="M339" s="95"/>
      <c r="N339" s="95"/>
      <c r="O339" s="95"/>
      <c r="P339" s="95"/>
      <c r="Q339" s="95"/>
      <c r="R339" s="95"/>
      <c r="S339" s="95"/>
      <c r="T339" s="95"/>
      <c r="U339" s="95"/>
      <c r="V339" s="95"/>
      <c r="W339" s="95"/>
      <c r="X339" s="95"/>
      <c r="Y339" s="95"/>
      <c r="Z339" s="95"/>
      <c r="AA339" s="95"/>
      <c r="AB339" s="95"/>
      <c r="AC339" s="95"/>
    </row>
    <row r="340" spans="10:29" x14ac:dyDescent="0.35">
      <c r="J340" s="95"/>
      <c r="K340" s="95"/>
      <c r="L340" s="95"/>
      <c r="M340" s="95"/>
      <c r="N340" s="95"/>
      <c r="O340" s="95"/>
      <c r="P340" s="95"/>
      <c r="Q340" s="95"/>
      <c r="R340" s="95"/>
      <c r="S340" s="95"/>
      <c r="T340" s="95"/>
      <c r="U340" s="95"/>
      <c r="V340" s="95"/>
      <c r="W340" s="95"/>
      <c r="X340" s="95"/>
      <c r="Y340" s="95"/>
      <c r="Z340" s="95"/>
      <c r="AA340" s="95"/>
      <c r="AB340" s="95"/>
      <c r="AC340" s="95"/>
    </row>
    <row r="341" spans="10:29" x14ac:dyDescent="0.35">
      <c r="J341" s="95"/>
      <c r="K341" s="95"/>
      <c r="L341" s="95"/>
      <c r="M341" s="95"/>
      <c r="N341" s="95"/>
      <c r="O341" s="95"/>
      <c r="P341" s="95"/>
      <c r="Q341" s="95"/>
      <c r="R341" s="95"/>
      <c r="S341" s="95"/>
      <c r="T341" s="95"/>
      <c r="U341" s="95"/>
      <c r="V341" s="95"/>
      <c r="W341" s="95"/>
      <c r="X341" s="95"/>
      <c r="Y341" s="95"/>
      <c r="Z341" s="95"/>
      <c r="AA341" s="95"/>
      <c r="AB341" s="95"/>
      <c r="AC341" s="95"/>
    </row>
    <row r="342" spans="10:29" x14ac:dyDescent="0.35">
      <c r="J342" s="95"/>
      <c r="K342" s="95"/>
      <c r="L342" s="95"/>
      <c r="M342" s="95"/>
      <c r="N342" s="95"/>
      <c r="O342" s="95"/>
      <c r="P342" s="95"/>
      <c r="Q342" s="95"/>
      <c r="R342" s="95"/>
      <c r="S342" s="95"/>
      <c r="T342" s="95"/>
      <c r="U342" s="95"/>
      <c r="V342" s="95"/>
      <c r="W342" s="95"/>
      <c r="X342" s="95"/>
      <c r="Y342" s="95"/>
      <c r="Z342" s="95"/>
      <c r="AA342" s="95"/>
      <c r="AB342" s="95"/>
      <c r="AC342" s="95"/>
    </row>
    <row r="343" spans="10:29" x14ac:dyDescent="0.35">
      <c r="J343" s="95"/>
      <c r="K343" s="95"/>
      <c r="L343" s="95"/>
      <c r="M343" s="95"/>
      <c r="N343" s="95"/>
      <c r="O343" s="95"/>
      <c r="P343" s="95"/>
      <c r="Q343" s="95"/>
      <c r="R343" s="95"/>
      <c r="S343" s="95"/>
      <c r="T343" s="95"/>
      <c r="U343" s="95"/>
      <c r="V343" s="95"/>
      <c r="W343" s="95"/>
      <c r="X343" s="95"/>
      <c r="Y343" s="95"/>
      <c r="Z343" s="95"/>
      <c r="AA343" s="95"/>
      <c r="AB343" s="95"/>
      <c r="AC343" s="95"/>
    </row>
    <row r="344" spans="10:29" x14ac:dyDescent="0.35">
      <c r="J344" s="95"/>
      <c r="K344" s="95"/>
      <c r="L344" s="95"/>
      <c r="M344" s="95"/>
      <c r="N344" s="95"/>
      <c r="O344" s="95"/>
      <c r="P344" s="95"/>
      <c r="Q344" s="95"/>
      <c r="R344" s="95"/>
      <c r="S344" s="95"/>
      <c r="T344" s="95"/>
      <c r="U344" s="95"/>
      <c r="V344" s="95"/>
      <c r="W344" s="95"/>
      <c r="X344" s="95"/>
      <c r="Y344" s="95"/>
      <c r="Z344" s="95"/>
      <c r="AA344" s="95"/>
      <c r="AB344" s="95"/>
      <c r="AC344" s="95"/>
    </row>
    <row r="345" spans="10:29" x14ac:dyDescent="0.35">
      <c r="J345" s="95"/>
      <c r="K345" s="95"/>
      <c r="L345" s="95"/>
      <c r="M345" s="95"/>
      <c r="N345" s="95"/>
      <c r="O345" s="95"/>
      <c r="P345" s="95"/>
      <c r="Q345" s="95"/>
      <c r="R345" s="95"/>
      <c r="S345" s="95"/>
      <c r="T345" s="95"/>
      <c r="U345" s="95"/>
      <c r="V345" s="95"/>
      <c r="W345" s="95"/>
      <c r="X345" s="95"/>
      <c r="Y345" s="95"/>
      <c r="Z345" s="95"/>
      <c r="AA345" s="95"/>
      <c r="AB345" s="95"/>
      <c r="AC345" s="95"/>
    </row>
    <row r="346" spans="10:29" x14ac:dyDescent="0.35">
      <c r="J346" s="95"/>
      <c r="K346" s="95"/>
      <c r="L346" s="95"/>
      <c r="M346" s="95"/>
      <c r="N346" s="95"/>
      <c r="O346" s="95"/>
      <c r="P346" s="95"/>
      <c r="Q346" s="95"/>
      <c r="R346" s="95"/>
      <c r="S346" s="95"/>
      <c r="T346" s="95"/>
      <c r="U346" s="95"/>
      <c r="V346" s="95"/>
      <c r="W346" s="95"/>
      <c r="X346" s="95"/>
      <c r="Y346" s="95"/>
      <c r="Z346" s="95"/>
      <c r="AA346" s="95"/>
      <c r="AB346" s="95"/>
      <c r="AC346" s="95"/>
    </row>
    <row r="347" spans="10:29" x14ac:dyDescent="0.35">
      <c r="J347" s="95"/>
      <c r="K347" s="95"/>
      <c r="L347" s="95"/>
      <c r="M347" s="95"/>
      <c r="N347" s="95"/>
      <c r="O347" s="95"/>
      <c r="P347" s="95"/>
      <c r="Q347" s="95"/>
      <c r="R347" s="95"/>
      <c r="S347" s="95"/>
      <c r="T347" s="95"/>
      <c r="U347" s="95"/>
      <c r="V347" s="95"/>
      <c r="W347" s="95"/>
      <c r="X347" s="95"/>
      <c r="Y347" s="95"/>
      <c r="Z347" s="95"/>
      <c r="AA347" s="95"/>
      <c r="AB347" s="95"/>
      <c r="AC347" s="95"/>
    </row>
    <row r="348" spans="10:29" x14ac:dyDescent="0.35">
      <c r="J348" s="95"/>
      <c r="K348" s="95"/>
      <c r="L348" s="95"/>
      <c r="M348" s="95"/>
      <c r="N348" s="95"/>
      <c r="O348" s="95"/>
      <c r="P348" s="95"/>
      <c r="Q348" s="95"/>
      <c r="R348" s="95"/>
      <c r="S348" s="95"/>
      <c r="T348" s="95"/>
      <c r="U348" s="95"/>
      <c r="V348" s="95"/>
      <c r="W348" s="95"/>
      <c r="X348" s="95"/>
      <c r="Y348" s="95"/>
      <c r="Z348" s="95"/>
      <c r="AA348" s="95"/>
      <c r="AB348" s="95"/>
      <c r="AC348" s="95"/>
    </row>
    <row r="349" spans="10:29" x14ac:dyDescent="0.35">
      <c r="J349" s="95"/>
      <c r="K349" s="95"/>
      <c r="L349" s="95"/>
      <c r="M349" s="95"/>
      <c r="N349" s="95"/>
      <c r="O349" s="95"/>
      <c r="P349" s="95"/>
      <c r="Q349" s="95"/>
      <c r="R349" s="95"/>
      <c r="S349" s="95"/>
      <c r="T349" s="95"/>
      <c r="U349" s="95"/>
      <c r="V349" s="95"/>
      <c r="W349" s="95"/>
      <c r="X349" s="95"/>
      <c r="Y349" s="95"/>
      <c r="Z349" s="95"/>
      <c r="AA349" s="95"/>
      <c r="AB349" s="95"/>
      <c r="AC349" s="95"/>
    </row>
    <row r="350" spans="10:29" x14ac:dyDescent="0.35">
      <c r="J350" s="95"/>
      <c r="K350" s="95"/>
      <c r="L350" s="95"/>
      <c r="M350" s="95"/>
      <c r="N350" s="95"/>
      <c r="O350" s="95"/>
      <c r="P350" s="95"/>
      <c r="Q350" s="95"/>
      <c r="R350" s="95"/>
      <c r="S350" s="95"/>
      <c r="T350" s="95"/>
      <c r="U350" s="95"/>
      <c r="V350" s="95"/>
      <c r="W350" s="95"/>
      <c r="X350" s="95"/>
      <c r="Y350" s="95"/>
      <c r="Z350" s="95"/>
      <c r="AA350" s="95"/>
      <c r="AB350" s="95"/>
      <c r="AC350" s="95"/>
    </row>
    <row r="351" spans="10:29" x14ac:dyDescent="0.35">
      <c r="J351" s="95"/>
      <c r="K351" s="95"/>
      <c r="L351" s="95"/>
      <c r="M351" s="95"/>
      <c r="N351" s="95"/>
      <c r="O351" s="95"/>
      <c r="P351" s="95"/>
      <c r="Q351" s="95"/>
      <c r="R351" s="95"/>
      <c r="S351" s="95"/>
      <c r="T351" s="95"/>
      <c r="U351" s="95"/>
      <c r="V351" s="95"/>
      <c r="W351" s="95"/>
      <c r="X351" s="95"/>
      <c r="Y351" s="95"/>
      <c r="Z351" s="95"/>
      <c r="AA351" s="95"/>
      <c r="AB351" s="95"/>
      <c r="AC351" s="95"/>
    </row>
    <row r="352" spans="10:29" x14ac:dyDescent="0.35">
      <c r="J352" s="95"/>
      <c r="K352" s="95"/>
      <c r="L352" s="95"/>
      <c r="M352" s="95"/>
      <c r="N352" s="95"/>
      <c r="O352" s="95"/>
      <c r="P352" s="95"/>
      <c r="Q352" s="95"/>
      <c r="R352" s="95"/>
      <c r="S352" s="95"/>
      <c r="T352" s="95"/>
      <c r="U352" s="95"/>
      <c r="V352" s="95"/>
      <c r="W352" s="95"/>
      <c r="X352" s="95"/>
      <c r="Y352" s="95"/>
      <c r="Z352" s="95"/>
      <c r="AA352" s="95"/>
      <c r="AB352" s="95"/>
      <c r="AC352" s="95"/>
    </row>
    <row r="353" spans="10:29" x14ac:dyDescent="0.35">
      <c r="J353" s="95"/>
      <c r="K353" s="95"/>
      <c r="L353" s="95"/>
      <c r="M353" s="95"/>
      <c r="N353" s="95"/>
      <c r="O353" s="95"/>
      <c r="P353" s="95"/>
      <c r="Q353" s="95"/>
      <c r="R353" s="95"/>
      <c r="S353" s="95"/>
      <c r="T353" s="95"/>
      <c r="U353" s="95"/>
      <c r="V353" s="95"/>
      <c r="W353" s="95"/>
      <c r="X353" s="95"/>
      <c r="Y353" s="95"/>
      <c r="Z353" s="95"/>
      <c r="AA353" s="95"/>
      <c r="AB353" s="95"/>
      <c r="AC353" s="95"/>
    </row>
    <row r="354" spans="10:29" x14ac:dyDescent="0.35">
      <c r="J354" s="95"/>
      <c r="K354" s="95"/>
      <c r="L354" s="95"/>
      <c r="M354" s="95"/>
      <c r="N354" s="95"/>
      <c r="O354" s="95"/>
      <c r="P354" s="95"/>
      <c r="Q354" s="95"/>
      <c r="R354" s="95"/>
      <c r="S354" s="95"/>
      <c r="T354" s="95"/>
      <c r="U354" s="95"/>
      <c r="V354" s="95"/>
      <c r="W354" s="95"/>
      <c r="X354" s="95"/>
      <c r="Y354" s="95"/>
      <c r="Z354" s="95"/>
      <c r="AA354" s="95"/>
      <c r="AB354" s="95"/>
      <c r="AC354" s="95"/>
    </row>
    <row r="355" spans="10:29" x14ac:dyDescent="0.35">
      <c r="J355" s="95"/>
      <c r="K355" s="95"/>
      <c r="L355" s="95"/>
      <c r="M355" s="95"/>
      <c r="N355" s="95"/>
      <c r="O355" s="95"/>
      <c r="P355" s="95"/>
      <c r="Q355" s="95"/>
      <c r="R355" s="95"/>
      <c r="S355" s="95"/>
      <c r="T355" s="95"/>
      <c r="U355" s="95"/>
      <c r="V355" s="95"/>
      <c r="W355" s="95"/>
      <c r="X355" s="95"/>
      <c r="Y355" s="95"/>
      <c r="Z355" s="95"/>
      <c r="AA355" s="95"/>
      <c r="AB355" s="95"/>
      <c r="AC355" s="95"/>
    </row>
    <row r="356" spans="10:29" x14ac:dyDescent="0.35">
      <c r="J356" s="95"/>
      <c r="K356" s="95"/>
      <c r="L356" s="95"/>
      <c r="M356" s="95"/>
      <c r="N356" s="95"/>
      <c r="O356" s="95"/>
      <c r="P356" s="95"/>
      <c r="Q356" s="95"/>
      <c r="R356" s="95"/>
      <c r="S356" s="95"/>
      <c r="T356" s="95"/>
      <c r="U356" s="95"/>
      <c r="V356" s="95"/>
      <c r="W356" s="95"/>
      <c r="X356" s="95"/>
      <c r="Y356" s="95"/>
      <c r="Z356" s="95"/>
      <c r="AA356" s="95"/>
      <c r="AB356" s="95"/>
      <c r="AC356" s="95"/>
    </row>
    <row r="357" spans="10:29" x14ac:dyDescent="0.35">
      <c r="J357" s="95"/>
      <c r="K357" s="95"/>
      <c r="L357" s="95"/>
      <c r="M357" s="95"/>
      <c r="N357" s="95"/>
      <c r="O357" s="95"/>
      <c r="P357" s="95"/>
      <c r="Q357" s="95"/>
      <c r="R357" s="95"/>
      <c r="S357" s="95"/>
      <c r="T357" s="95"/>
      <c r="U357" s="95"/>
      <c r="V357" s="95"/>
      <c r="W357" s="95"/>
      <c r="X357" s="95"/>
      <c r="Y357" s="95"/>
      <c r="Z357" s="95"/>
      <c r="AA357" s="95"/>
      <c r="AB357" s="95"/>
      <c r="AC357" s="95"/>
    </row>
    <row r="358" spans="10:29" x14ac:dyDescent="0.35">
      <c r="J358" s="95"/>
      <c r="K358" s="95"/>
      <c r="L358" s="95"/>
      <c r="M358" s="95"/>
      <c r="N358" s="95"/>
      <c r="O358" s="95"/>
      <c r="P358" s="95"/>
      <c r="Q358" s="95"/>
      <c r="R358" s="95"/>
      <c r="S358" s="95"/>
      <c r="T358" s="95"/>
      <c r="U358" s="95"/>
      <c r="V358" s="95"/>
      <c r="W358" s="95"/>
      <c r="X358" s="95"/>
      <c r="Y358" s="95"/>
      <c r="Z358" s="95"/>
      <c r="AA358" s="95"/>
      <c r="AB358" s="95"/>
      <c r="AC358" s="95"/>
    </row>
    <row r="359" spans="10:29" x14ac:dyDescent="0.35">
      <c r="J359" s="95"/>
      <c r="K359" s="95"/>
      <c r="L359" s="95"/>
      <c r="M359" s="95"/>
      <c r="N359" s="95"/>
      <c r="O359" s="95"/>
      <c r="P359" s="95"/>
      <c r="Q359" s="95"/>
      <c r="R359" s="95"/>
      <c r="S359" s="95"/>
      <c r="T359" s="95"/>
      <c r="U359" s="95"/>
      <c r="V359" s="95"/>
      <c r="W359" s="95"/>
      <c r="X359" s="95"/>
      <c r="Y359" s="95"/>
      <c r="Z359" s="95"/>
      <c r="AA359" s="95"/>
      <c r="AB359" s="95"/>
      <c r="AC359" s="95"/>
    </row>
    <row r="360" spans="10:29" x14ac:dyDescent="0.35">
      <c r="J360" s="95"/>
      <c r="K360" s="95"/>
      <c r="L360" s="95"/>
      <c r="M360" s="95"/>
      <c r="N360" s="95"/>
      <c r="O360" s="95"/>
      <c r="P360" s="95"/>
      <c r="Q360" s="95"/>
      <c r="R360" s="95"/>
      <c r="S360" s="95"/>
      <c r="T360" s="95"/>
      <c r="U360" s="95"/>
      <c r="V360" s="95"/>
      <c r="W360" s="95"/>
      <c r="X360" s="95"/>
      <c r="Y360" s="95"/>
      <c r="Z360" s="95"/>
      <c r="AA360" s="95"/>
      <c r="AB360" s="95"/>
      <c r="AC360" s="95"/>
    </row>
    <row r="361" spans="10:29" x14ac:dyDescent="0.35">
      <c r="J361" s="95"/>
      <c r="K361" s="95"/>
      <c r="L361" s="95"/>
      <c r="M361" s="95"/>
      <c r="N361" s="95"/>
      <c r="O361" s="95"/>
      <c r="P361" s="95"/>
      <c r="Q361" s="95"/>
      <c r="R361" s="95"/>
      <c r="S361" s="95"/>
      <c r="T361" s="95"/>
      <c r="U361" s="95"/>
      <c r="V361" s="95"/>
      <c r="W361" s="95"/>
      <c r="X361" s="95"/>
      <c r="Y361" s="95"/>
      <c r="Z361" s="95"/>
      <c r="AA361" s="95"/>
      <c r="AB361" s="95"/>
      <c r="AC361" s="95"/>
    </row>
    <row r="362" spans="10:29" x14ac:dyDescent="0.35">
      <c r="J362" s="95"/>
      <c r="K362" s="95"/>
      <c r="L362" s="95"/>
      <c r="M362" s="95"/>
      <c r="N362" s="95"/>
      <c r="O362" s="95"/>
      <c r="P362" s="95"/>
      <c r="Q362" s="95"/>
      <c r="R362" s="95"/>
      <c r="S362" s="95"/>
      <c r="T362" s="95"/>
      <c r="U362" s="95"/>
      <c r="V362" s="95"/>
      <c r="W362" s="95"/>
      <c r="X362" s="95"/>
      <c r="Y362" s="95"/>
      <c r="Z362" s="95"/>
      <c r="AA362" s="95"/>
      <c r="AB362" s="95"/>
      <c r="AC362" s="95"/>
    </row>
    <row r="363" spans="10:29" x14ac:dyDescent="0.35">
      <c r="J363" s="95"/>
      <c r="K363" s="95"/>
      <c r="L363" s="95"/>
      <c r="M363" s="95"/>
      <c r="N363" s="95"/>
      <c r="O363" s="95"/>
      <c r="P363" s="95"/>
      <c r="Q363" s="95"/>
      <c r="R363" s="95"/>
      <c r="S363" s="95"/>
      <c r="T363" s="95"/>
      <c r="U363" s="95"/>
      <c r="V363" s="95"/>
      <c r="W363" s="95"/>
      <c r="X363" s="95"/>
      <c r="Y363" s="95"/>
      <c r="Z363" s="95"/>
      <c r="AA363" s="95"/>
      <c r="AB363" s="95"/>
      <c r="AC363" s="95"/>
    </row>
    <row r="364" spans="10:29" x14ac:dyDescent="0.35">
      <c r="J364" s="95"/>
      <c r="K364" s="95"/>
      <c r="L364" s="95"/>
      <c r="M364" s="95"/>
      <c r="N364" s="95"/>
      <c r="O364" s="95"/>
      <c r="P364" s="95"/>
      <c r="Q364" s="95"/>
      <c r="R364" s="95"/>
      <c r="S364" s="95"/>
      <c r="T364" s="95"/>
      <c r="U364" s="95"/>
      <c r="V364" s="95"/>
      <c r="W364" s="95"/>
      <c r="X364" s="95"/>
      <c r="Y364" s="95"/>
      <c r="Z364" s="95"/>
      <c r="AA364" s="95"/>
      <c r="AB364" s="95"/>
      <c r="AC364" s="95"/>
    </row>
    <row r="365" spans="10:29" x14ac:dyDescent="0.35">
      <c r="J365" s="95"/>
      <c r="K365" s="95"/>
      <c r="L365" s="95"/>
      <c r="M365" s="95"/>
      <c r="N365" s="95"/>
      <c r="O365" s="95"/>
      <c r="P365" s="95"/>
      <c r="Q365" s="95"/>
      <c r="R365" s="95"/>
      <c r="S365" s="95"/>
      <c r="T365" s="95"/>
      <c r="U365" s="95"/>
      <c r="V365" s="95"/>
      <c r="W365" s="95"/>
      <c r="X365" s="95"/>
      <c r="Y365" s="95"/>
      <c r="Z365" s="95"/>
      <c r="AA365" s="95"/>
      <c r="AB365" s="95"/>
      <c r="AC365" s="95"/>
    </row>
    <row r="366" spans="10:29" x14ac:dyDescent="0.35">
      <c r="J366" s="95"/>
      <c r="K366" s="95"/>
      <c r="L366" s="95"/>
      <c r="M366" s="95"/>
      <c r="N366" s="95"/>
      <c r="O366" s="95"/>
      <c r="P366" s="95"/>
      <c r="Q366" s="95"/>
      <c r="R366" s="95"/>
      <c r="S366" s="95"/>
      <c r="T366" s="95"/>
      <c r="U366" s="95"/>
      <c r="V366" s="95"/>
      <c r="W366" s="95"/>
      <c r="X366" s="95"/>
      <c r="Y366" s="95"/>
      <c r="Z366" s="95"/>
      <c r="AA366" s="95"/>
      <c r="AB366" s="95"/>
      <c r="AC366" s="95"/>
    </row>
    <row r="367" spans="10:29" x14ac:dyDescent="0.35">
      <c r="J367" s="95"/>
      <c r="K367" s="95"/>
      <c r="L367" s="95"/>
      <c r="M367" s="95"/>
      <c r="N367" s="95"/>
      <c r="O367" s="95"/>
      <c r="P367" s="95"/>
      <c r="Q367" s="95"/>
      <c r="R367" s="95"/>
      <c r="S367" s="95"/>
      <c r="T367" s="95"/>
      <c r="U367" s="95"/>
      <c r="V367" s="95"/>
      <c r="W367" s="95"/>
      <c r="X367" s="95"/>
      <c r="Y367" s="95"/>
      <c r="Z367" s="95"/>
      <c r="AA367" s="95"/>
      <c r="AB367" s="95"/>
      <c r="AC367" s="95"/>
    </row>
    <row r="368" spans="10:29" x14ac:dyDescent="0.35">
      <c r="J368" s="95"/>
      <c r="K368" s="95"/>
      <c r="L368" s="95"/>
      <c r="M368" s="95"/>
      <c r="N368" s="95"/>
      <c r="O368" s="95"/>
      <c r="P368" s="95"/>
      <c r="Q368" s="95"/>
      <c r="R368" s="95"/>
      <c r="S368" s="95"/>
      <c r="T368" s="95"/>
      <c r="U368" s="95"/>
      <c r="V368" s="95"/>
      <c r="W368" s="95"/>
      <c r="X368" s="95"/>
      <c r="Y368" s="95"/>
      <c r="Z368" s="95"/>
      <c r="AA368" s="95"/>
      <c r="AB368" s="95"/>
      <c r="AC368" s="95"/>
    </row>
    <row r="369" spans="10:29" x14ac:dyDescent="0.35">
      <c r="J369" s="95"/>
      <c r="K369" s="95"/>
      <c r="L369" s="95"/>
      <c r="M369" s="95"/>
      <c r="N369" s="95"/>
      <c r="O369" s="95"/>
      <c r="P369" s="95"/>
      <c r="Q369" s="95"/>
      <c r="R369" s="95"/>
      <c r="S369" s="95"/>
      <c r="T369" s="95"/>
      <c r="U369" s="95"/>
      <c r="V369" s="95"/>
      <c r="W369" s="95"/>
      <c r="X369" s="95"/>
      <c r="Y369" s="95"/>
      <c r="Z369" s="95"/>
      <c r="AA369" s="95"/>
      <c r="AB369" s="95"/>
      <c r="AC369" s="95"/>
    </row>
    <row r="370" spans="10:29" x14ac:dyDescent="0.35">
      <c r="J370" s="95"/>
      <c r="K370" s="95"/>
      <c r="L370" s="95"/>
      <c r="M370" s="95"/>
      <c r="N370" s="95"/>
      <c r="O370" s="95"/>
      <c r="P370" s="95"/>
      <c r="Q370" s="95"/>
      <c r="R370" s="95"/>
      <c r="S370" s="95"/>
      <c r="T370" s="95"/>
      <c r="U370" s="95"/>
      <c r="V370" s="95"/>
      <c r="W370" s="95"/>
      <c r="X370" s="95"/>
      <c r="Y370" s="95"/>
      <c r="Z370" s="95"/>
      <c r="AA370" s="95"/>
      <c r="AB370" s="95"/>
      <c r="AC370" s="95"/>
    </row>
    <row r="371" spans="10:29" x14ac:dyDescent="0.35">
      <c r="J371" s="95"/>
      <c r="K371" s="95"/>
      <c r="L371" s="95"/>
      <c r="M371" s="95"/>
      <c r="N371" s="95"/>
      <c r="O371" s="95"/>
      <c r="P371" s="95"/>
      <c r="Q371" s="95"/>
      <c r="R371" s="95"/>
      <c r="S371" s="95"/>
      <c r="T371" s="95"/>
      <c r="U371" s="95"/>
      <c r="V371" s="95"/>
      <c r="W371" s="95"/>
      <c r="X371" s="95"/>
      <c r="Y371" s="95"/>
      <c r="Z371" s="95"/>
      <c r="AA371" s="95"/>
      <c r="AB371" s="95"/>
      <c r="AC371" s="95"/>
    </row>
    <row r="372" spans="10:29" x14ac:dyDescent="0.35">
      <c r="J372" s="95"/>
      <c r="K372" s="95"/>
      <c r="L372" s="95"/>
      <c r="M372" s="95"/>
      <c r="N372" s="95"/>
      <c r="O372" s="95"/>
      <c r="P372" s="95"/>
      <c r="Q372" s="95"/>
      <c r="R372" s="95"/>
      <c r="S372" s="95"/>
      <c r="T372" s="95"/>
      <c r="U372" s="95"/>
      <c r="V372" s="95"/>
      <c r="W372" s="95"/>
      <c r="X372" s="95"/>
      <c r="Y372" s="95"/>
      <c r="Z372" s="95"/>
      <c r="AA372" s="95"/>
      <c r="AB372" s="95"/>
      <c r="AC372" s="95"/>
    </row>
    <row r="373" spans="10:29" x14ac:dyDescent="0.35">
      <c r="J373" s="95"/>
      <c r="K373" s="95"/>
      <c r="L373" s="95"/>
      <c r="M373" s="95"/>
      <c r="N373" s="95"/>
      <c r="O373" s="95"/>
      <c r="P373" s="95"/>
      <c r="Q373" s="95"/>
      <c r="R373" s="95"/>
      <c r="S373" s="95"/>
      <c r="T373" s="95"/>
      <c r="U373" s="95"/>
      <c r="V373" s="95"/>
      <c r="W373" s="95"/>
      <c r="X373" s="95"/>
      <c r="Y373" s="95"/>
      <c r="Z373" s="95"/>
      <c r="AA373" s="95"/>
      <c r="AB373" s="95"/>
      <c r="AC373" s="95"/>
    </row>
    <row r="374" spans="10:29" x14ac:dyDescent="0.35">
      <c r="J374" s="95"/>
      <c r="K374" s="95"/>
      <c r="L374" s="95"/>
      <c r="M374" s="95"/>
      <c r="N374" s="95"/>
      <c r="O374" s="95"/>
      <c r="P374" s="95"/>
      <c r="Q374" s="95"/>
      <c r="R374" s="95"/>
      <c r="S374" s="95"/>
      <c r="T374" s="95"/>
      <c r="U374" s="95"/>
      <c r="V374" s="95"/>
      <c r="W374" s="95"/>
      <c r="X374" s="95"/>
      <c r="Y374" s="95"/>
      <c r="Z374" s="95"/>
      <c r="AA374" s="95"/>
      <c r="AB374" s="95"/>
      <c r="AC374" s="95"/>
    </row>
    <row r="375" spans="10:29" x14ac:dyDescent="0.35">
      <c r="J375" s="95"/>
      <c r="K375" s="95"/>
      <c r="L375" s="95"/>
      <c r="M375" s="95"/>
      <c r="N375" s="95"/>
      <c r="O375" s="95"/>
      <c r="P375" s="95"/>
      <c r="Q375" s="95"/>
      <c r="R375" s="95"/>
      <c r="S375" s="95"/>
      <c r="T375" s="95"/>
      <c r="U375" s="95"/>
      <c r="V375" s="95"/>
      <c r="W375" s="95"/>
      <c r="X375" s="95"/>
      <c r="Y375" s="95"/>
      <c r="Z375" s="95"/>
      <c r="AA375" s="95"/>
      <c r="AB375" s="95"/>
      <c r="AC375" s="95"/>
    </row>
    <row r="376" spans="10:29" x14ac:dyDescent="0.35">
      <c r="J376" s="95"/>
      <c r="K376" s="95"/>
      <c r="L376" s="95"/>
      <c r="M376" s="95"/>
      <c r="N376" s="95"/>
      <c r="O376" s="95"/>
      <c r="P376" s="95"/>
      <c r="Q376" s="95"/>
      <c r="R376" s="95"/>
      <c r="S376" s="95"/>
      <c r="T376" s="95"/>
      <c r="U376" s="95"/>
      <c r="V376" s="95"/>
      <c r="W376" s="95"/>
      <c r="X376" s="95"/>
      <c r="Y376" s="95"/>
      <c r="Z376" s="95"/>
      <c r="AA376" s="95"/>
      <c r="AB376" s="95"/>
      <c r="AC376" s="95"/>
    </row>
    <row r="377" spans="10:29" x14ac:dyDescent="0.35">
      <c r="J377" s="95"/>
      <c r="K377" s="95"/>
      <c r="L377" s="95"/>
      <c r="M377" s="95"/>
      <c r="N377" s="95"/>
      <c r="O377" s="95"/>
      <c r="P377" s="95"/>
      <c r="Q377" s="95"/>
      <c r="R377" s="95"/>
      <c r="S377" s="95"/>
      <c r="T377" s="95"/>
      <c r="U377" s="95"/>
      <c r="V377" s="95"/>
      <c r="W377" s="95"/>
      <c r="X377" s="95"/>
      <c r="Y377" s="95"/>
      <c r="Z377" s="95"/>
      <c r="AA377" s="95"/>
      <c r="AB377" s="95"/>
      <c r="AC377" s="95"/>
    </row>
    <row r="378" spans="10:29" x14ac:dyDescent="0.35">
      <c r="J378" s="95"/>
      <c r="K378" s="95"/>
      <c r="L378" s="95"/>
      <c r="M378" s="95"/>
      <c r="N378" s="95"/>
      <c r="O378" s="95"/>
      <c r="P378" s="95"/>
      <c r="Q378" s="95"/>
      <c r="R378" s="95"/>
      <c r="S378" s="95"/>
      <c r="T378" s="95"/>
      <c r="U378" s="95"/>
      <c r="V378" s="95"/>
      <c r="W378" s="95"/>
      <c r="X378" s="95"/>
      <c r="Y378" s="95"/>
      <c r="Z378" s="95"/>
      <c r="AA378" s="95"/>
      <c r="AB378" s="95"/>
      <c r="AC378" s="95"/>
    </row>
    <row r="379" spans="10:29" x14ac:dyDescent="0.35">
      <c r="J379" s="95"/>
      <c r="K379" s="95"/>
      <c r="L379" s="95"/>
      <c r="M379" s="95"/>
      <c r="N379" s="95"/>
      <c r="O379" s="95"/>
      <c r="P379" s="95"/>
      <c r="Q379" s="95"/>
      <c r="R379" s="95"/>
      <c r="S379" s="95"/>
      <c r="T379" s="95"/>
      <c r="U379" s="95"/>
      <c r="V379" s="95"/>
      <c r="W379" s="95"/>
      <c r="X379" s="95"/>
      <c r="Y379" s="95"/>
      <c r="Z379" s="95"/>
      <c r="AA379" s="95"/>
      <c r="AB379" s="95"/>
      <c r="AC379" s="95"/>
    </row>
    <row r="380" spans="10:29" x14ac:dyDescent="0.35">
      <c r="J380" s="95"/>
      <c r="K380" s="95"/>
      <c r="L380" s="95"/>
      <c r="M380" s="95"/>
      <c r="N380" s="95"/>
      <c r="O380" s="95"/>
      <c r="P380" s="95"/>
      <c r="Q380" s="95"/>
      <c r="R380" s="95"/>
      <c r="S380" s="95"/>
      <c r="T380" s="95"/>
      <c r="U380" s="95"/>
      <c r="V380" s="95"/>
      <c r="W380" s="95"/>
      <c r="X380" s="95"/>
      <c r="Y380" s="95"/>
      <c r="Z380" s="95"/>
      <c r="AA380" s="95"/>
      <c r="AB380" s="95"/>
      <c r="AC380" s="95"/>
    </row>
    <row r="381" spans="10:29" x14ac:dyDescent="0.35">
      <c r="J381" s="95"/>
      <c r="K381" s="95"/>
      <c r="L381" s="95"/>
      <c r="M381" s="95"/>
      <c r="N381" s="95"/>
      <c r="O381" s="95"/>
      <c r="P381" s="95"/>
      <c r="Q381" s="95"/>
      <c r="R381" s="95"/>
      <c r="S381" s="95"/>
      <c r="T381" s="95"/>
      <c r="U381" s="95"/>
      <c r="V381" s="95"/>
      <c r="W381" s="95"/>
      <c r="X381" s="95"/>
      <c r="Y381" s="95"/>
      <c r="Z381" s="95"/>
      <c r="AA381" s="95"/>
      <c r="AB381" s="95"/>
      <c r="AC381" s="95"/>
    </row>
    <row r="382" spans="10:29" x14ac:dyDescent="0.35">
      <c r="J382" s="95"/>
      <c r="K382" s="95"/>
      <c r="L382" s="95"/>
      <c r="M382" s="95"/>
      <c r="N382" s="95"/>
      <c r="O382" s="95"/>
      <c r="P382" s="95"/>
      <c r="Q382" s="95"/>
      <c r="R382" s="95"/>
      <c r="S382" s="95"/>
      <c r="T382" s="95"/>
      <c r="U382" s="95"/>
      <c r="V382" s="95"/>
      <c r="W382" s="95"/>
      <c r="X382" s="95"/>
      <c r="Y382" s="95"/>
      <c r="Z382" s="95"/>
      <c r="AA382" s="95"/>
      <c r="AB382" s="95"/>
      <c r="AC382" s="95"/>
    </row>
    <row r="383" spans="10:29" x14ac:dyDescent="0.35">
      <c r="J383" s="95"/>
      <c r="K383" s="95"/>
      <c r="L383" s="95"/>
      <c r="M383" s="95"/>
      <c r="N383" s="95"/>
      <c r="O383" s="95"/>
      <c r="P383" s="95"/>
      <c r="Q383" s="95"/>
      <c r="R383" s="95"/>
      <c r="S383" s="95"/>
      <c r="T383" s="95"/>
      <c r="U383" s="95"/>
      <c r="V383" s="95"/>
      <c r="W383" s="95"/>
      <c r="X383" s="95"/>
      <c r="Y383" s="95"/>
      <c r="Z383" s="95"/>
      <c r="AA383" s="95"/>
      <c r="AB383" s="95"/>
      <c r="AC383" s="95"/>
    </row>
    <row r="384" spans="10:29" x14ac:dyDescent="0.35">
      <c r="J384" s="95"/>
      <c r="K384" s="95"/>
      <c r="L384" s="95"/>
      <c r="M384" s="95"/>
      <c r="N384" s="95"/>
      <c r="O384" s="95"/>
      <c r="P384" s="95"/>
      <c r="Q384" s="95"/>
      <c r="R384" s="95"/>
      <c r="S384" s="95"/>
      <c r="T384" s="95"/>
      <c r="U384" s="95"/>
      <c r="V384" s="95"/>
      <c r="W384" s="95"/>
      <c r="X384" s="95"/>
      <c r="Y384" s="95"/>
      <c r="Z384" s="95"/>
      <c r="AA384" s="95"/>
      <c r="AB384" s="95"/>
      <c r="AC384" s="95"/>
    </row>
    <row r="385" spans="10:29" x14ac:dyDescent="0.35">
      <c r="J385" s="95"/>
      <c r="K385" s="95"/>
      <c r="L385" s="95"/>
      <c r="M385" s="95"/>
      <c r="N385" s="95"/>
      <c r="O385" s="95"/>
      <c r="P385" s="95"/>
      <c r="Q385" s="95"/>
      <c r="R385" s="95"/>
      <c r="S385" s="95"/>
      <c r="T385" s="95"/>
      <c r="U385" s="95"/>
      <c r="V385" s="95"/>
      <c r="W385" s="95"/>
      <c r="X385" s="95"/>
      <c r="Y385" s="95"/>
      <c r="Z385" s="95"/>
      <c r="AA385" s="95"/>
      <c r="AB385" s="95"/>
      <c r="AC385" s="95"/>
    </row>
    <row r="386" spans="10:29" x14ac:dyDescent="0.35">
      <c r="J386" s="95"/>
      <c r="K386" s="95"/>
      <c r="L386" s="95"/>
      <c r="M386" s="95"/>
      <c r="N386" s="95"/>
      <c r="O386" s="95"/>
      <c r="P386" s="95"/>
      <c r="Q386" s="95"/>
      <c r="R386" s="95"/>
      <c r="S386" s="95"/>
      <c r="T386" s="95"/>
      <c r="U386" s="95"/>
      <c r="V386" s="95"/>
      <c r="W386" s="95"/>
      <c r="X386" s="95"/>
      <c r="Y386" s="95"/>
      <c r="Z386" s="95"/>
      <c r="AA386" s="95"/>
      <c r="AB386" s="95"/>
      <c r="AC386" s="95"/>
    </row>
    <row r="387" spans="10:29" x14ac:dyDescent="0.35">
      <c r="J387" s="95"/>
      <c r="K387" s="95"/>
      <c r="L387" s="95"/>
      <c r="M387" s="95"/>
      <c r="N387" s="95"/>
      <c r="O387" s="95"/>
      <c r="P387" s="95"/>
      <c r="Q387" s="95"/>
      <c r="R387" s="95"/>
      <c r="S387" s="95"/>
      <c r="T387" s="95"/>
      <c r="U387" s="95"/>
      <c r="V387" s="95"/>
      <c r="W387" s="95"/>
      <c r="X387" s="95"/>
      <c r="Y387" s="95"/>
      <c r="Z387" s="95"/>
      <c r="AA387" s="95"/>
      <c r="AB387" s="95"/>
      <c r="AC387" s="95"/>
    </row>
    <row r="388" spans="10:29" x14ac:dyDescent="0.35">
      <c r="J388" s="95"/>
      <c r="K388" s="95"/>
      <c r="L388" s="95"/>
      <c r="M388" s="95"/>
      <c r="N388" s="95"/>
      <c r="O388" s="95"/>
      <c r="P388" s="95"/>
      <c r="Q388" s="95"/>
      <c r="R388" s="95"/>
      <c r="S388" s="95"/>
      <c r="T388" s="95"/>
      <c r="U388" s="95"/>
      <c r="V388" s="95"/>
      <c r="W388" s="95"/>
      <c r="X388" s="95"/>
      <c r="Y388" s="95"/>
      <c r="Z388" s="95"/>
      <c r="AA388" s="95"/>
      <c r="AB388" s="95"/>
      <c r="AC388" s="95"/>
    </row>
    <row r="389" spans="10:29" x14ac:dyDescent="0.35">
      <c r="J389" s="95"/>
      <c r="K389" s="95"/>
      <c r="L389" s="95"/>
      <c r="M389" s="95"/>
      <c r="N389" s="95"/>
      <c r="O389" s="95"/>
      <c r="P389" s="95"/>
      <c r="Q389" s="95"/>
      <c r="R389" s="95"/>
      <c r="S389" s="95"/>
      <c r="T389" s="95"/>
      <c r="U389" s="95"/>
      <c r="V389" s="95"/>
      <c r="W389" s="95"/>
      <c r="X389" s="95"/>
      <c r="Y389" s="95"/>
      <c r="Z389" s="95"/>
      <c r="AA389" s="95"/>
      <c r="AB389" s="95"/>
      <c r="AC389" s="95"/>
    </row>
    <row r="390" spans="10:29" x14ac:dyDescent="0.35">
      <c r="J390" s="95"/>
      <c r="K390" s="95"/>
      <c r="L390" s="95"/>
      <c r="M390" s="95"/>
      <c r="N390" s="95"/>
      <c r="O390" s="95"/>
      <c r="P390" s="95"/>
      <c r="Q390" s="95"/>
      <c r="R390" s="95"/>
      <c r="S390" s="95"/>
      <c r="T390" s="95"/>
      <c r="U390" s="95"/>
      <c r="V390" s="95"/>
      <c r="W390" s="95"/>
      <c r="X390" s="95"/>
      <c r="Y390" s="95"/>
      <c r="Z390" s="95"/>
      <c r="AA390" s="95"/>
      <c r="AB390" s="95"/>
      <c r="AC390" s="95"/>
    </row>
    <row r="391" spans="10:29" x14ac:dyDescent="0.35">
      <c r="J391" s="95"/>
      <c r="K391" s="95"/>
      <c r="L391" s="95"/>
      <c r="M391" s="95"/>
      <c r="N391" s="95"/>
      <c r="O391" s="95"/>
      <c r="P391" s="95"/>
      <c r="Q391" s="95"/>
      <c r="R391" s="95"/>
      <c r="S391" s="95"/>
      <c r="T391" s="95"/>
      <c r="U391" s="95"/>
      <c r="V391" s="95"/>
      <c r="W391" s="95"/>
      <c r="X391" s="95"/>
      <c r="Y391" s="95"/>
      <c r="Z391" s="95"/>
      <c r="AA391" s="95"/>
      <c r="AB391" s="95"/>
      <c r="AC391" s="95"/>
    </row>
    <row r="392" spans="10:29" x14ac:dyDescent="0.35">
      <c r="J392" s="95"/>
      <c r="K392" s="95"/>
      <c r="L392" s="95"/>
      <c r="M392" s="95"/>
      <c r="N392" s="95"/>
      <c r="O392" s="95"/>
      <c r="P392" s="95"/>
      <c r="Q392" s="95"/>
      <c r="R392" s="95"/>
      <c r="S392" s="95"/>
      <c r="T392" s="95"/>
      <c r="U392" s="95"/>
      <c r="V392" s="95"/>
      <c r="W392" s="95"/>
      <c r="X392" s="95"/>
      <c r="Y392" s="95"/>
      <c r="Z392" s="95"/>
      <c r="AA392" s="95"/>
      <c r="AB392" s="95"/>
      <c r="AC392" s="95"/>
    </row>
    <row r="393" spans="10:29" x14ac:dyDescent="0.35">
      <c r="J393" s="95"/>
      <c r="K393" s="95"/>
      <c r="L393" s="95"/>
      <c r="M393" s="95"/>
      <c r="N393" s="95"/>
      <c r="O393" s="95"/>
      <c r="P393" s="95"/>
      <c r="Q393" s="95"/>
      <c r="R393" s="95"/>
      <c r="S393" s="95"/>
      <c r="T393" s="95"/>
      <c r="U393" s="95"/>
      <c r="V393" s="95"/>
      <c r="W393" s="95"/>
      <c r="X393" s="95"/>
      <c r="Y393" s="95"/>
      <c r="Z393" s="95"/>
      <c r="AA393" s="95"/>
      <c r="AB393" s="95"/>
      <c r="AC393" s="95"/>
    </row>
    <row r="394" spans="10:29" x14ac:dyDescent="0.35">
      <c r="J394" s="95"/>
      <c r="K394" s="95"/>
      <c r="L394" s="95"/>
      <c r="M394" s="95"/>
      <c r="N394" s="95"/>
      <c r="O394" s="95"/>
      <c r="P394" s="95"/>
      <c r="Q394" s="95"/>
      <c r="R394" s="95"/>
      <c r="S394" s="95"/>
      <c r="T394" s="95"/>
      <c r="U394" s="95"/>
      <c r="V394" s="95"/>
      <c r="W394" s="95"/>
      <c r="X394" s="95"/>
      <c r="Y394" s="95"/>
      <c r="Z394" s="95"/>
      <c r="AA394" s="95"/>
      <c r="AB394" s="95"/>
      <c r="AC394" s="95"/>
    </row>
    <row r="395" spans="10:29" x14ac:dyDescent="0.35">
      <c r="J395" s="95"/>
      <c r="K395" s="95"/>
      <c r="L395" s="95"/>
      <c r="M395" s="95"/>
      <c r="N395" s="95"/>
      <c r="O395" s="95"/>
      <c r="P395" s="95"/>
      <c r="Q395" s="95"/>
      <c r="R395" s="95"/>
      <c r="S395" s="95"/>
      <c r="T395" s="95"/>
      <c r="U395" s="95"/>
      <c r="V395" s="95"/>
      <c r="W395" s="95"/>
      <c r="X395" s="95"/>
      <c r="Y395" s="95"/>
      <c r="Z395" s="95"/>
      <c r="AA395" s="95"/>
      <c r="AB395" s="95"/>
      <c r="AC395" s="95"/>
    </row>
    <row r="396" spans="10:29" x14ac:dyDescent="0.35">
      <c r="J396" s="95"/>
      <c r="K396" s="95"/>
      <c r="L396" s="95"/>
      <c r="M396" s="95"/>
      <c r="N396" s="95"/>
      <c r="O396" s="95"/>
      <c r="P396" s="95"/>
      <c r="Q396" s="95"/>
      <c r="R396" s="95"/>
      <c r="S396" s="95"/>
      <c r="T396" s="95"/>
      <c r="U396" s="95"/>
      <c r="V396" s="95"/>
      <c r="W396" s="95"/>
      <c r="X396" s="95"/>
      <c r="Y396" s="95"/>
      <c r="Z396" s="95"/>
      <c r="AA396" s="95"/>
      <c r="AB396" s="95"/>
      <c r="AC396" s="95"/>
    </row>
    <row r="397" spans="10:29" x14ac:dyDescent="0.35">
      <c r="J397" s="95"/>
      <c r="K397" s="95"/>
      <c r="L397" s="95"/>
      <c r="M397" s="95"/>
      <c r="N397" s="95"/>
      <c r="O397" s="95"/>
      <c r="P397" s="95"/>
      <c r="Q397" s="95"/>
      <c r="R397" s="95"/>
      <c r="S397" s="95"/>
      <c r="T397" s="95"/>
      <c r="U397" s="95"/>
      <c r="V397" s="95"/>
      <c r="W397" s="95"/>
      <c r="X397" s="95"/>
      <c r="Y397" s="95"/>
      <c r="Z397" s="95"/>
      <c r="AA397" s="95"/>
      <c r="AB397" s="95"/>
      <c r="AC397" s="95"/>
    </row>
    <row r="398" spans="10:29" x14ac:dyDescent="0.35">
      <c r="J398" s="95"/>
      <c r="K398" s="95"/>
      <c r="L398" s="95"/>
      <c r="M398" s="95"/>
      <c r="N398" s="95"/>
      <c r="O398" s="95"/>
      <c r="P398" s="95"/>
      <c r="Q398" s="95"/>
      <c r="R398" s="95"/>
      <c r="S398" s="95"/>
      <c r="T398" s="95"/>
      <c r="U398" s="95"/>
      <c r="V398" s="95"/>
      <c r="W398" s="95"/>
      <c r="X398" s="95"/>
      <c r="Y398" s="95"/>
      <c r="Z398" s="95"/>
      <c r="AA398" s="95"/>
      <c r="AB398" s="95"/>
      <c r="AC398" s="95"/>
    </row>
    <row r="399" spans="10:29" x14ac:dyDescent="0.35">
      <c r="J399" s="95"/>
      <c r="K399" s="95"/>
      <c r="L399" s="95"/>
      <c r="M399" s="95"/>
      <c r="N399" s="95"/>
      <c r="O399" s="95"/>
      <c r="P399" s="95"/>
      <c r="Q399" s="95"/>
      <c r="R399" s="95"/>
      <c r="S399" s="95"/>
      <c r="T399" s="95"/>
      <c r="U399" s="95"/>
      <c r="V399" s="95"/>
      <c r="W399" s="95"/>
      <c r="X399" s="95"/>
      <c r="Y399" s="95"/>
      <c r="Z399" s="95"/>
      <c r="AA399" s="95"/>
      <c r="AB399" s="95"/>
      <c r="AC399" s="95"/>
    </row>
    <row r="400" spans="10:29" x14ac:dyDescent="0.35">
      <c r="J400" s="95"/>
      <c r="K400" s="95"/>
      <c r="L400" s="95"/>
      <c r="M400" s="95"/>
      <c r="N400" s="95"/>
      <c r="O400" s="95"/>
      <c r="P400" s="95"/>
      <c r="Q400" s="95"/>
      <c r="R400" s="95"/>
      <c r="S400" s="95"/>
      <c r="T400" s="95"/>
      <c r="U400" s="95"/>
      <c r="V400" s="95"/>
      <c r="W400" s="95"/>
      <c r="X400" s="95"/>
      <c r="Y400" s="95"/>
      <c r="Z400" s="95"/>
      <c r="AA400" s="95"/>
      <c r="AB400" s="95"/>
      <c r="AC400" s="95"/>
    </row>
    <row r="401" spans="10:29" x14ac:dyDescent="0.35">
      <c r="J401" s="95"/>
      <c r="K401" s="95"/>
      <c r="L401" s="95"/>
      <c r="M401" s="95"/>
      <c r="N401" s="95"/>
      <c r="O401" s="95"/>
      <c r="P401" s="95"/>
      <c r="Q401" s="95"/>
      <c r="R401" s="95"/>
      <c r="S401" s="95"/>
      <c r="T401" s="95"/>
      <c r="U401" s="95"/>
      <c r="V401" s="95"/>
      <c r="W401" s="95"/>
      <c r="X401" s="95"/>
      <c r="Y401" s="95"/>
      <c r="Z401" s="95"/>
      <c r="AA401" s="95"/>
      <c r="AB401" s="95"/>
      <c r="AC401" s="95"/>
    </row>
    <row r="402" spans="10:29" x14ac:dyDescent="0.35">
      <c r="J402" s="95"/>
      <c r="K402" s="95"/>
      <c r="L402" s="95"/>
      <c r="M402" s="95"/>
      <c r="N402" s="95"/>
      <c r="O402" s="95"/>
      <c r="P402" s="95"/>
      <c r="Q402" s="95"/>
      <c r="R402" s="95"/>
      <c r="S402" s="95"/>
      <c r="T402" s="95"/>
      <c r="U402" s="95"/>
      <c r="V402" s="95"/>
      <c r="W402" s="95"/>
      <c r="X402" s="95"/>
      <c r="Y402" s="95"/>
      <c r="Z402" s="95"/>
      <c r="AA402" s="95"/>
      <c r="AB402" s="95"/>
      <c r="AC402" s="95"/>
    </row>
    <row r="403" spans="10:29" x14ac:dyDescent="0.35">
      <c r="J403" s="95"/>
      <c r="K403" s="95"/>
      <c r="L403" s="95"/>
      <c r="M403" s="95"/>
      <c r="N403" s="95"/>
      <c r="O403" s="95"/>
      <c r="P403" s="95"/>
      <c r="Q403" s="95"/>
      <c r="R403" s="95"/>
      <c r="S403" s="95"/>
      <c r="T403" s="95"/>
      <c r="U403" s="95"/>
      <c r="V403" s="95"/>
      <c r="W403" s="95"/>
      <c r="X403" s="95"/>
      <c r="Y403" s="95"/>
      <c r="Z403" s="95"/>
      <c r="AA403" s="95"/>
      <c r="AB403" s="95"/>
      <c r="AC403" s="95"/>
    </row>
    <row r="404" spans="10:29" x14ac:dyDescent="0.35">
      <c r="J404" s="95"/>
      <c r="K404" s="95"/>
      <c r="L404" s="95"/>
      <c r="M404" s="95"/>
      <c r="N404" s="95"/>
      <c r="O404" s="95"/>
      <c r="P404" s="95"/>
      <c r="Q404" s="95"/>
      <c r="R404" s="95"/>
      <c r="S404" s="95"/>
      <c r="T404" s="95"/>
      <c r="U404" s="95"/>
      <c r="V404" s="95"/>
      <c r="W404" s="95"/>
      <c r="X404" s="95"/>
      <c r="Y404" s="95"/>
      <c r="Z404" s="95"/>
      <c r="AA404" s="95"/>
      <c r="AB404" s="95"/>
      <c r="AC404" s="95"/>
    </row>
    <row r="405" spans="10:29" x14ac:dyDescent="0.35">
      <c r="J405" s="95"/>
      <c r="K405" s="95"/>
      <c r="L405" s="95"/>
      <c r="M405" s="95"/>
      <c r="N405" s="95"/>
      <c r="O405" s="95"/>
      <c r="P405" s="95"/>
      <c r="Q405" s="95"/>
      <c r="R405" s="95"/>
      <c r="S405" s="95"/>
      <c r="T405" s="95"/>
      <c r="U405" s="95"/>
      <c r="V405" s="95"/>
      <c r="W405" s="95"/>
      <c r="X405" s="95"/>
      <c r="Y405" s="95"/>
      <c r="Z405" s="95"/>
      <c r="AA405" s="95"/>
      <c r="AB405" s="95"/>
      <c r="AC405" s="95"/>
    </row>
    <row r="406" spans="10:29" x14ac:dyDescent="0.35">
      <c r="J406" s="95"/>
      <c r="K406" s="95"/>
      <c r="L406" s="95"/>
      <c r="M406" s="95"/>
      <c r="N406" s="95"/>
      <c r="O406" s="95"/>
      <c r="P406" s="95"/>
      <c r="Q406" s="95"/>
      <c r="R406" s="95"/>
      <c r="S406" s="95"/>
      <c r="T406" s="95"/>
      <c r="U406" s="95"/>
      <c r="V406" s="95"/>
      <c r="W406" s="95"/>
      <c r="X406" s="95"/>
      <c r="Y406" s="95"/>
      <c r="Z406" s="95"/>
      <c r="AA406" s="95"/>
      <c r="AB406" s="95"/>
      <c r="AC406" s="95"/>
    </row>
    <row r="407" spans="10:29" x14ac:dyDescent="0.35">
      <c r="J407" s="95"/>
      <c r="K407" s="95"/>
      <c r="L407" s="95"/>
      <c r="M407" s="95"/>
      <c r="N407" s="95"/>
      <c r="O407" s="95"/>
      <c r="P407" s="95"/>
      <c r="Q407" s="95"/>
      <c r="R407" s="95"/>
      <c r="S407" s="95"/>
      <c r="T407" s="95"/>
      <c r="U407" s="95"/>
      <c r="V407" s="95"/>
      <c r="W407" s="95"/>
      <c r="X407" s="95"/>
      <c r="Y407" s="95"/>
      <c r="Z407" s="95"/>
      <c r="AA407" s="95"/>
      <c r="AB407" s="95"/>
      <c r="AC407" s="95"/>
    </row>
    <row r="408" spans="10:29" x14ac:dyDescent="0.35">
      <c r="J408" s="95"/>
      <c r="K408" s="95"/>
      <c r="L408" s="95"/>
      <c r="M408" s="95"/>
      <c r="N408" s="95"/>
      <c r="O408" s="95"/>
      <c r="P408" s="95"/>
      <c r="Q408" s="95"/>
      <c r="R408" s="95"/>
      <c r="S408" s="95"/>
      <c r="T408" s="95"/>
      <c r="U408" s="95"/>
      <c r="V408" s="95"/>
      <c r="W408" s="95"/>
      <c r="X408" s="95"/>
      <c r="Y408" s="95"/>
      <c r="Z408" s="95"/>
      <c r="AA408" s="95"/>
      <c r="AB408" s="95"/>
      <c r="AC408" s="95"/>
    </row>
    <row r="409" spans="10:29" x14ac:dyDescent="0.35">
      <c r="J409" s="95"/>
      <c r="K409" s="95"/>
      <c r="L409" s="95"/>
      <c r="M409" s="95"/>
      <c r="N409" s="95"/>
      <c r="O409" s="95"/>
      <c r="P409" s="95"/>
      <c r="Q409" s="95"/>
      <c r="R409" s="95"/>
      <c r="S409" s="95"/>
      <c r="T409" s="95"/>
      <c r="U409" s="95"/>
      <c r="V409" s="95"/>
      <c r="W409" s="95"/>
      <c r="X409" s="95"/>
      <c r="Y409" s="95"/>
      <c r="Z409" s="95"/>
      <c r="AA409" s="95"/>
      <c r="AB409" s="95"/>
      <c r="AC409" s="95"/>
    </row>
    <row r="410" spans="10:29" x14ac:dyDescent="0.35">
      <c r="J410" s="95"/>
      <c r="K410" s="95"/>
      <c r="L410" s="95"/>
      <c r="M410" s="95"/>
      <c r="N410" s="95"/>
      <c r="O410" s="95"/>
      <c r="P410" s="95"/>
      <c r="Q410" s="95"/>
      <c r="R410" s="95"/>
      <c r="S410" s="95"/>
      <c r="T410" s="95"/>
      <c r="U410" s="95"/>
      <c r="V410" s="95"/>
      <c r="W410" s="95"/>
      <c r="X410" s="95"/>
      <c r="Y410" s="95"/>
      <c r="Z410" s="95"/>
      <c r="AA410" s="95"/>
      <c r="AB410" s="95"/>
      <c r="AC410" s="95"/>
    </row>
    <row r="411" spans="10:29" x14ac:dyDescent="0.35">
      <c r="J411" s="95"/>
      <c r="K411" s="95"/>
      <c r="L411" s="95"/>
      <c r="M411" s="95"/>
      <c r="N411" s="95"/>
      <c r="O411" s="95"/>
      <c r="P411" s="95"/>
      <c r="Q411" s="95"/>
      <c r="R411" s="95"/>
      <c r="S411" s="95"/>
      <c r="T411" s="95"/>
      <c r="U411" s="95"/>
      <c r="V411" s="95"/>
      <c r="W411" s="95"/>
      <c r="X411" s="95"/>
      <c r="Y411" s="95"/>
      <c r="Z411" s="95"/>
      <c r="AA411" s="95"/>
      <c r="AB411" s="95"/>
      <c r="AC411" s="95"/>
    </row>
    <row r="412" spans="10:29" x14ac:dyDescent="0.35">
      <c r="J412" s="95"/>
      <c r="K412" s="95"/>
      <c r="L412" s="95"/>
      <c r="M412" s="95"/>
      <c r="N412" s="95"/>
      <c r="O412" s="95"/>
      <c r="P412" s="95"/>
      <c r="Q412" s="95"/>
      <c r="R412" s="95"/>
      <c r="S412" s="95"/>
      <c r="T412" s="95"/>
      <c r="U412" s="95"/>
      <c r="V412" s="95"/>
      <c r="W412" s="95"/>
      <c r="X412" s="95"/>
      <c r="Y412" s="95"/>
      <c r="Z412" s="95"/>
      <c r="AA412" s="95"/>
      <c r="AB412" s="95"/>
      <c r="AC412" s="95"/>
    </row>
    <row r="413" spans="10:29" x14ac:dyDescent="0.35">
      <c r="J413" s="95"/>
      <c r="K413" s="95"/>
      <c r="L413" s="95"/>
      <c r="M413" s="95"/>
      <c r="N413" s="95"/>
      <c r="O413" s="95"/>
      <c r="P413" s="95"/>
      <c r="Q413" s="95"/>
      <c r="R413" s="95"/>
      <c r="S413" s="95"/>
      <c r="T413" s="95"/>
      <c r="U413" s="95"/>
      <c r="V413" s="95"/>
      <c r="W413" s="95"/>
      <c r="X413" s="95"/>
      <c r="Y413" s="95"/>
      <c r="Z413" s="95"/>
      <c r="AA413" s="95"/>
      <c r="AB413" s="95"/>
      <c r="AC413" s="95"/>
    </row>
    <row r="414" spans="10:29" x14ac:dyDescent="0.35">
      <c r="J414" s="95"/>
      <c r="K414" s="95"/>
      <c r="L414" s="95"/>
      <c r="M414" s="95"/>
      <c r="N414" s="95"/>
      <c r="O414" s="95"/>
      <c r="P414" s="95"/>
      <c r="Q414" s="95"/>
      <c r="R414" s="95"/>
      <c r="S414" s="95"/>
      <c r="T414" s="95"/>
      <c r="U414" s="95"/>
      <c r="V414" s="95"/>
      <c r="W414" s="95"/>
      <c r="X414" s="95"/>
      <c r="Y414" s="95"/>
      <c r="Z414" s="95"/>
      <c r="AA414" s="95"/>
      <c r="AB414" s="95"/>
      <c r="AC414" s="95"/>
    </row>
    <row r="415" spans="10:29" x14ac:dyDescent="0.35">
      <c r="J415" s="95"/>
      <c r="K415" s="95"/>
      <c r="L415" s="95"/>
      <c r="M415" s="95"/>
      <c r="N415" s="95"/>
      <c r="O415" s="95"/>
      <c r="P415" s="95"/>
      <c r="Q415" s="95"/>
      <c r="R415" s="95"/>
      <c r="S415" s="95"/>
      <c r="T415" s="95"/>
      <c r="U415" s="95"/>
      <c r="V415" s="95"/>
      <c r="W415" s="95"/>
      <c r="X415" s="95"/>
      <c r="Y415" s="95"/>
      <c r="Z415" s="95"/>
      <c r="AA415" s="95"/>
      <c r="AB415" s="95"/>
      <c r="AC415" s="95"/>
    </row>
    <row r="416" spans="10:29" x14ac:dyDescent="0.35">
      <c r="J416" s="95"/>
      <c r="K416" s="95"/>
      <c r="L416" s="95"/>
      <c r="M416" s="95"/>
      <c r="N416" s="95"/>
      <c r="O416" s="95"/>
      <c r="P416" s="95"/>
      <c r="Q416" s="95"/>
      <c r="R416" s="95"/>
      <c r="S416" s="95"/>
      <c r="T416" s="95"/>
      <c r="U416" s="95"/>
      <c r="V416" s="95"/>
      <c r="W416" s="95"/>
      <c r="X416" s="95"/>
      <c r="Y416" s="95"/>
      <c r="Z416" s="95"/>
      <c r="AA416" s="95"/>
      <c r="AB416" s="95"/>
      <c r="AC416" s="95"/>
    </row>
    <row r="417" spans="10:29" x14ac:dyDescent="0.35">
      <c r="J417" s="95"/>
      <c r="K417" s="95"/>
      <c r="L417" s="95"/>
      <c r="M417" s="95"/>
      <c r="N417" s="95"/>
      <c r="O417" s="95"/>
      <c r="P417" s="95"/>
      <c r="Q417" s="95"/>
      <c r="R417" s="95"/>
      <c r="S417" s="95"/>
      <c r="T417" s="95"/>
      <c r="U417" s="95"/>
      <c r="V417" s="95"/>
      <c r="W417" s="95"/>
      <c r="X417" s="95"/>
      <c r="Y417" s="95"/>
      <c r="Z417" s="95"/>
      <c r="AA417" s="95"/>
      <c r="AB417" s="95"/>
      <c r="AC417" s="95"/>
    </row>
    <row r="418" spans="10:29" x14ac:dyDescent="0.35">
      <c r="J418" s="95"/>
      <c r="K418" s="95"/>
      <c r="L418" s="95"/>
      <c r="M418" s="95"/>
      <c r="N418" s="95"/>
      <c r="O418" s="95"/>
      <c r="P418" s="95"/>
      <c r="Q418" s="95"/>
      <c r="R418" s="95"/>
      <c r="S418" s="95"/>
      <c r="T418" s="95"/>
      <c r="U418" s="95"/>
      <c r="V418" s="95"/>
      <c r="W418" s="95"/>
      <c r="X418" s="95"/>
      <c r="Y418" s="95"/>
      <c r="Z418" s="95"/>
      <c r="AA418" s="95"/>
      <c r="AB418" s="95"/>
      <c r="AC418" s="95"/>
    </row>
    <row r="419" spans="10:29" x14ac:dyDescent="0.35">
      <c r="J419" s="95"/>
      <c r="K419" s="95"/>
      <c r="L419" s="95"/>
      <c r="M419" s="95"/>
      <c r="N419" s="95"/>
      <c r="O419" s="95"/>
      <c r="P419" s="95"/>
      <c r="Q419" s="95"/>
      <c r="R419" s="95"/>
      <c r="S419" s="95"/>
      <c r="T419" s="95"/>
      <c r="U419" s="95"/>
      <c r="V419" s="95"/>
      <c r="W419" s="95"/>
      <c r="X419" s="95"/>
      <c r="Y419" s="95"/>
      <c r="Z419" s="95"/>
      <c r="AA419" s="95"/>
      <c r="AB419" s="95"/>
      <c r="AC419" s="95"/>
    </row>
    <row r="420" spans="10:29" x14ac:dyDescent="0.35">
      <c r="J420" s="95"/>
      <c r="K420" s="95"/>
      <c r="L420" s="95"/>
      <c r="M420" s="95"/>
      <c r="N420" s="95"/>
      <c r="O420" s="95"/>
      <c r="P420" s="95"/>
      <c r="Q420" s="95"/>
      <c r="R420" s="95"/>
      <c r="S420" s="95"/>
      <c r="T420" s="95"/>
      <c r="U420" s="95"/>
      <c r="V420" s="95"/>
      <c r="W420" s="95"/>
      <c r="X420" s="95"/>
      <c r="Y420" s="95"/>
      <c r="Z420" s="95"/>
      <c r="AA420" s="95"/>
      <c r="AB420" s="95"/>
      <c r="AC420" s="95"/>
    </row>
    <row r="421" spans="10:29" x14ac:dyDescent="0.35">
      <c r="J421" s="95"/>
      <c r="K421" s="95"/>
      <c r="L421" s="95"/>
      <c r="M421" s="95"/>
      <c r="N421" s="95"/>
      <c r="O421" s="95"/>
      <c r="P421" s="95"/>
      <c r="Q421" s="95"/>
      <c r="R421" s="95"/>
      <c r="S421" s="95"/>
      <c r="T421" s="95"/>
      <c r="U421" s="95"/>
      <c r="V421" s="95"/>
      <c r="W421" s="95"/>
      <c r="X421" s="95"/>
      <c r="Y421" s="95"/>
      <c r="Z421" s="95"/>
      <c r="AA421" s="95"/>
      <c r="AB421" s="95"/>
      <c r="AC421" s="95"/>
    </row>
    <row r="422" spans="10:29" x14ac:dyDescent="0.35">
      <c r="J422" s="95"/>
      <c r="K422" s="95"/>
      <c r="L422" s="95"/>
      <c r="M422" s="95"/>
      <c r="N422" s="95"/>
      <c r="O422" s="95"/>
      <c r="P422" s="95"/>
      <c r="Q422" s="95"/>
      <c r="R422" s="95"/>
      <c r="S422" s="95"/>
      <c r="T422" s="95"/>
      <c r="U422" s="95"/>
      <c r="V422" s="95"/>
      <c r="W422" s="95"/>
      <c r="X422" s="95"/>
      <c r="Y422" s="95"/>
      <c r="Z422" s="95"/>
      <c r="AA422" s="95"/>
      <c r="AB422" s="95"/>
      <c r="AC422" s="95"/>
    </row>
    <row r="423" spans="10:29" x14ac:dyDescent="0.35">
      <c r="J423" s="95"/>
      <c r="K423" s="95"/>
      <c r="L423" s="95"/>
      <c r="M423" s="95"/>
      <c r="N423" s="95"/>
      <c r="O423" s="95"/>
      <c r="P423" s="95"/>
      <c r="Q423" s="95"/>
      <c r="R423" s="95"/>
      <c r="S423" s="95"/>
      <c r="T423" s="95"/>
      <c r="U423" s="95"/>
      <c r="V423" s="95"/>
      <c r="W423" s="95"/>
      <c r="X423" s="95"/>
      <c r="Y423" s="95"/>
      <c r="Z423" s="95"/>
      <c r="AA423" s="95"/>
      <c r="AB423" s="95"/>
      <c r="AC423" s="95"/>
    </row>
    <row r="424" spans="10:29" x14ac:dyDescent="0.35">
      <c r="J424" s="95"/>
      <c r="K424" s="95"/>
      <c r="L424" s="95"/>
      <c r="M424" s="95"/>
      <c r="N424" s="95"/>
      <c r="O424" s="95"/>
      <c r="P424" s="95"/>
      <c r="Q424" s="95"/>
      <c r="R424" s="95"/>
      <c r="S424" s="95"/>
      <c r="T424" s="95"/>
      <c r="U424" s="95"/>
      <c r="V424" s="95"/>
      <c r="W424" s="95"/>
      <c r="X424" s="95"/>
      <c r="Y424" s="95"/>
      <c r="Z424" s="95"/>
      <c r="AA424" s="95"/>
      <c r="AB424" s="95"/>
      <c r="AC424" s="95"/>
    </row>
    <row r="425" spans="10:29" x14ac:dyDescent="0.35">
      <c r="J425" s="95"/>
      <c r="K425" s="95"/>
      <c r="L425" s="95"/>
      <c r="M425" s="95"/>
      <c r="N425" s="95"/>
      <c r="O425" s="95"/>
      <c r="P425" s="95"/>
      <c r="Q425" s="95"/>
      <c r="R425" s="95"/>
      <c r="S425" s="95"/>
      <c r="T425" s="95"/>
      <c r="U425" s="95"/>
      <c r="V425" s="95"/>
      <c r="W425" s="95"/>
      <c r="X425" s="95"/>
      <c r="Y425" s="95"/>
      <c r="Z425" s="95"/>
      <c r="AA425" s="95"/>
      <c r="AB425" s="95"/>
      <c r="AC425" s="95"/>
    </row>
    <row r="426" spans="10:29" x14ac:dyDescent="0.35">
      <c r="J426" s="95"/>
      <c r="K426" s="95"/>
      <c r="L426" s="95"/>
      <c r="M426" s="95"/>
      <c r="N426" s="95"/>
      <c r="O426" s="95"/>
      <c r="P426" s="95"/>
      <c r="Q426" s="95"/>
      <c r="R426" s="95"/>
      <c r="S426" s="95"/>
      <c r="T426" s="95"/>
      <c r="U426" s="95"/>
      <c r="V426" s="95"/>
      <c r="W426" s="95"/>
      <c r="X426" s="95"/>
      <c r="Y426" s="95"/>
      <c r="Z426" s="95"/>
      <c r="AA426" s="95"/>
      <c r="AB426" s="95"/>
      <c r="AC426" s="95"/>
    </row>
    <row r="427" spans="10:29" x14ac:dyDescent="0.35">
      <c r="J427" s="95"/>
      <c r="K427" s="95"/>
      <c r="L427" s="95"/>
      <c r="M427" s="95"/>
      <c r="N427" s="95"/>
      <c r="O427" s="95"/>
      <c r="P427" s="95"/>
      <c r="Q427" s="95"/>
      <c r="R427" s="95"/>
      <c r="S427" s="95"/>
      <c r="T427" s="95"/>
      <c r="U427" s="95"/>
      <c r="V427" s="95"/>
      <c r="W427" s="95"/>
      <c r="X427" s="95"/>
      <c r="Y427" s="95"/>
      <c r="Z427" s="95"/>
      <c r="AA427" s="95"/>
      <c r="AB427" s="95"/>
      <c r="AC427" s="95"/>
    </row>
    <row r="428" spans="10:29" x14ac:dyDescent="0.35">
      <c r="J428" s="95"/>
      <c r="K428" s="95"/>
      <c r="L428" s="95"/>
      <c r="M428" s="95"/>
      <c r="N428" s="95"/>
      <c r="O428" s="95"/>
      <c r="P428" s="95"/>
      <c r="Q428" s="95"/>
      <c r="R428" s="95"/>
      <c r="S428" s="95"/>
      <c r="T428" s="95"/>
      <c r="U428" s="95"/>
      <c r="V428" s="95"/>
      <c r="W428" s="95"/>
      <c r="X428" s="95"/>
      <c r="Y428" s="95"/>
      <c r="Z428" s="95"/>
      <c r="AA428" s="95"/>
      <c r="AB428" s="95"/>
      <c r="AC428" s="95"/>
    </row>
    <row r="429" spans="10:29" x14ac:dyDescent="0.35">
      <c r="J429" s="95"/>
      <c r="K429" s="95"/>
      <c r="L429" s="95"/>
      <c r="M429" s="95"/>
      <c r="N429" s="95"/>
      <c r="O429" s="95"/>
      <c r="P429" s="95"/>
      <c r="Q429" s="95"/>
      <c r="R429" s="95"/>
      <c r="S429" s="95"/>
      <c r="T429" s="95"/>
      <c r="U429" s="95"/>
      <c r="V429" s="95"/>
      <c r="W429" s="95"/>
      <c r="X429" s="95"/>
      <c r="Y429" s="95"/>
      <c r="Z429" s="95"/>
      <c r="AA429" s="95"/>
      <c r="AB429" s="95"/>
      <c r="AC429" s="95"/>
    </row>
    <row r="430" spans="10:29" x14ac:dyDescent="0.35">
      <c r="J430" s="95"/>
      <c r="K430" s="95"/>
      <c r="L430" s="95"/>
      <c r="M430" s="95"/>
      <c r="N430" s="95"/>
      <c r="O430" s="95"/>
      <c r="P430" s="95"/>
      <c r="Q430" s="95"/>
      <c r="R430" s="95"/>
      <c r="S430" s="95"/>
      <c r="T430" s="95"/>
      <c r="U430" s="95"/>
      <c r="V430" s="95"/>
      <c r="W430" s="95"/>
      <c r="X430" s="95"/>
      <c r="Y430" s="95"/>
      <c r="Z430" s="95"/>
      <c r="AA430" s="95"/>
      <c r="AB430" s="95"/>
      <c r="AC430" s="95"/>
    </row>
    <row r="431" spans="10:29" x14ac:dyDescent="0.35">
      <c r="J431" s="95"/>
      <c r="K431" s="95"/>
      <c r="L431" s="95"/>
      <c r="M431" s="95"/>
      <c r="N431" s="95"/>
      <c r="O431" s="95"/>
      <c r="P431" s="95"/>
      <c r="Q431" s="95"/>
      <c r="R431" s="95"/>
      <c r="S431" s="95"/>
      <c r="T431" s="95"/>
      <c r="U431" s="95"/>
      <c r="V431" s="95"/>
      <c r="W431" s="95"/>
      <c r="X431" s="95"/>
      <c r="Y431" s="95"/>
      <c r="Z431" s="95"/>
      <c r="AA431" s="95"/>
      <c r="AB431" s="95"/>
      <c r="AC431" s="95"/>
    </row>
    <row r="432" spans="10:29" x14ac:dyDescent="0.35">
      <c r="J432" s="95"/>
      <c r="K432" s="95"/>
      <c r="L432" s="95"/>
      <c r="M432" s="95"/>
      <c r="N432" s="95"/>
      <c r="O432" s="95"/>
      <c r="P432" s="95"/>
      <c r="Q432" s="95"/>
      <c r="R432" s="95"/>
      <c r="S432" s="95"/>
      <c r="T432" s="95"/>
      <c r="U432" s="95"/>
      <c r="V432" s="95"/>
      <c r="W432" s="95"/>
      <c r="X432" s="95"/>
      <c r="Y432" s="95"/>
      <c r="Z432" s="95"/>
      <c r="AA432" s="95"/>
      <c r="AB432" s="95"/>
      <c r="AC432" s="95"/>
    </row>
    <row r="433" spans="10:29" x14ac:dyDescent="0.35">
      <c r="J433" s="95"/>
      <c r="K433" s="95"/>
      <c r="L433" s="95"/>
      <c r="M433" s="95"/>
      <c r="N433" s="95"/>
      <c r="O433" s="95"/>
      <c r="P433" s="95"/>
      <c r="Q433" s="95"/>
      <c r="R433" s="95"/>
      <c r="S433" s="95"/>
      <c r="T433" s="95"/>
      <c r="U433" s="95"/>
      <c r="V433" s="95"/>
      <c r="W433" s="95"/>
      <c r="X433" s="95"/>
      <c r="Y433" s="95"/>
      <c r="Z433" s="95"/>
      <c r="AA433" s="95"/>
      <c r="AB433" s="95"/>
      <c r="AC433" s="95"/>
    </row>
    <row r="434" spans="10:29" x14ac:dyDescent="0.35">
      <c r="J434" s="95"/>
      <c r="K434" s="95"/>
      <c r="L434" s="95"/>
      <c r="M434" s="95"/>
      <c r="N434" s="95"/>
      <c r="O434" s="95"/>
      <c r="P434" s="95"/>
      <c r="Q434" s="95"/>
      <c r="R434" s="95"/>
      <c r="S434" s="95"/>
      <c r="T434" s="95"/>
      <c r="U434" s="95"/>
      <c r="V434" s="95"/>
      <c r="W434" s="95"/>
      <c r="X434" s="95"/>
      <c r="Y434" s="95"/>
      <c r="Z434" s="95"/>
      <c r="AA434" s="95"/>
      <c r="AB434" s="95"/>
      <c r="AC434" s="95"/>
    </row>
    <row r="435" spans="10:29" x14ac:dyDescent="0.35">
      <c r="J435" s="95"/>
      <c r="K435" s="95"/>
      <c r="L435" s="95"/>
      <c r="M435" s="95"/>
      <c r="N435" s="95"/>
      <c r="O435" s="95"/>
      <c r="P435" s="95"/>
      <c r="Q435" s="95"/>
      <c r="R435" s="95"/>
      <c r="S435" s="95"/>
      <c r="T435" s="95"/>
      <c r="U435" s="95"/>
      <c r="V435" s="95"/>
      <c r="W435" s="95"/>
      <c r="X435" s="95"/>
      <c r="Y435" s="95"/>
      <c r="Z435" s="95"/>
      <c r="AA435" s="95"/>
      <c r="AB435" s="95"/>
      <c r="AC435" s="95"/>
    </row>
    <row r="436" spans="10:29" x14ac:dyDescent="0.35">
      <c r="J436" s="95"/>
      <c r="K436" s="95"/>
      <c r="L436" s="95"/>
      <c r="M436" s="95"/>
      <c r="N436" s="95"/>
      <c r="O436" s="95"/>
      <c r="P436" s="95"/>
      <c r="Q436" s="95"/>
      <c r="R436" s="95"/>
      <c r="S436" s="95"/>
      <c r="T436" s="95"/>
      <c r="U436" s="95"/>
      <c r="V436" s="95"/>
      <c r="W436" s="95"/>
      <c r="X436" s="95"/>
      <c r="Y436" s="95"/>
      <c r="Z436" s="95"/>
      <c r="AA436" s="95"/>
      <c r="AB436" s="95"/>
      <c r="AC436" s="95"/>
    </row>
    <row r="437" spans="10:29" x14ac:dyDescent="0.35">
      <c r="J437" s="95"/>
      <c r="K437" s="95"/>
      <c r="L437" s="95"/>
      <c r="M437" s="95"/>
      <c r="N437" s="95"/>
      <c r="O437" s="95"/>
      <c r="P437" s="95"/>
      <c r="Q437" s="95"/>
      <c r="R437" s="95"/>
      <c r="S437" s="95"/>
      <c r="T437" s="95"/>
      <c r="U437" s="95"/>
      <c r="V437" s="95"/>
      <c r="W437" s="95"/>
      <c r="X437" s="95"/>
      <c r="Y437" s="95"/>
      <c r="Z437" s="95"/>
      <c r="AA437" s="95"/>
      <c r="AB437" s="95"/>
      <c r="AC437" s="95"/>
    </row>
    <row r="438" spans="10:29" x14ac:dyDescent="0.35">
      <c r="J438" s="95"/>
      <c r="K438" s="95"/>
      <c r="L438" s="95"/>
      <c r="M438" s="95"/>
      <c r="N438" s="95"/>
      <c r="O438" s="95"/>
      <c r="P438" s="95"/>
      <c r="Q438" s="95"/>
      <c r="R438" s="95"/>
      <c r="S438" s="95"/>
      <c r="T438" s="95"/>
      <c r="U438" s="95"/>
      <c r="V438" s="95"/>
      <c r="W438" s="95"/>
      <c r="X438" s="95"/>
      <c r="Y438" s="95"/>
      <c r="Z438" s="95"/>
      <c r="AA438" s="95"/>
      <c r="AB438" s="95"/>
      <c r="AC438" s="95"/>
    </row>
    <row r="439" spans="10:29" x14ac:dyDescent="0.35">
      <c r="J439" s="95"/>
      <c r="K439" s="95"/>
      <c r="L439" s="95"/>
      <c r="M439" s="95"/>
      <c r="N439" s="95"/>
      <c r="O439" s="95"/>
      <c r="P439" s="95"/>
      <c r="Q439" s="95"/>
      <c r="R439" s="95"/>
      <c r="S439" s="95"/>
      <c r="T439" s="95"/>
      <c r="U439" s="95"/>
      <c r="V439" s="95"/>
      <c r="W439" s="95"/>
      <c r="X439" s="95"/>
      <c r="Y439" s="95"/>
      <c r="Z439" s="95"/>
      <c r="AA439" s="95"/>
      <c r="AB439" s="95"/>
      <c r="AC439" s="95"/>
    </row>
    <row r="440" spans="10:29" x14ac:dyDescent="0.35">
      <c r="J440" s="95"/>
      <c r="K440" s="95"/>
      <c r="L440" s="95"/>
      <c r="M440" s="95"/>
      <c r="N440" s="95"/>
      <c r="O440" s="95"/>
      <c r="P440" s="95"/>
      <c r="Q440" s="95"/>
      <c r="R440" s="95"/>
      <c r="S440" s="95"/>
      <c r="T440" s="95"/>
      <c r="U440" s="95"/>
      <c r="V440" s="95"/>
      <c r="W440" s="95"/>
      <c r="X440" s="95"/>
      <c r="Y440" s="95"/>
      <c r="Z440" s="95"/>
      <c r="AA440" s="95"/>
      <c r="AB440" s="95"/>
      <c r="AC440" s="95"/>
    </row>
    <row r="441" spans="10:29" x14ac:dyDescent="0.35">
      <c r="J441" s="95"/>
      <c r="K441" s="95"/>
      <c r="L441" s="95"/>
      <c r="M441" s="95"/>
      <c r="N441" s="95"/>
      <c r="O441" s="95"/>
      <c r="P441" s="95"/>
      <c r="Q441" s="95"/>
      <c r="R441" s="95"/>
      <c r="S441" s="95"/>
      <c r="T441" s="95"/>
      <c r="U441" s="95"/>
      <c r="V441" s="95"/>
      <c r="W441" s="95"/>
      <c r="X441" s="95"/>
      <c r="Y441" s="95"/>
      <c r="Z441" s="95"/>
      <c r="AA441" s="95"/>
      <c r="AB441" s="95"/>
      <c r="AC441" s="95"/>
    </row>
    <row r="442" spans="10:29" x14ac:dyDescent="0.35">
      <c r="J442" s="95"/>
      <c r="K442" s="95"/>
      <c r="L442" s="95"/>
      <c r="M442" s="95"/>
      <c r="N442" s="95"/>
      <c r="O442" s="95"/>
      <c r="P442" s="95"/>
      <c r="Q442" s="95"/>
      <c r="R442" s="95"/>
      <c r="S442" s="95"/>
      <c r="T442" s="95"/>
      <c r="U442" s="95"/>
      <c r="V442" s="95"/>
      <c r="W442" s="95"/>
      <c r="X442" s="95"/>
      <c r="Y442" s="95"/>
      <c r="Z442" s="95"/>
      <c r="AA442" s="95"/>
      <c r="AB442" s="95"/>
      <c r="AC442" s="95"/>
    </row>
    <row r="443" spans="10:29" x14ac:dyDescent="0.35">
      <c r="J443" s="95"/>
      <c r="K443" s="95"/>
      <c r="L443" s="95"/>
      <c r="M443" s="95"/>
      <c r="N443" s="95"/>
      <c r="O443" s="95"/>
      <c r="P443" s="95"/>
      <c r="Q443" s="95"/>
      <c r="R443" s="95"/>
      <c r="S443" s="95"/>
      <c r="T443" s="95"/>
      <c r="U443" s="95"/>
      <c r="V443" s="95"/>
      <c r="W443" s="95"/>
      <c r="X443" s="95"/>
      <c r="Y443" s="95"/>
      <c r="Z443" s="95"/>
      <c r="AA443" s="95"/>
      <c r="AB443" s="95"/>
      <c r="AC443" s="95"/>
    </row>
    <row r="444" spans="10:29" x14ac:dyDescent="0.35">
      <c r="J444" s="95"/>
      <c r="K444" s="95"/>
      <c r="L444" s="95"/>
      <c r="M444" s="95"/>
      <c r="N444" s="95"/>
      <c r="O444" s="95"/>
      <c r="P444" s="95"/>
      <c r="Q444" s="95"/>
      <c r="R444" s="95"/>
      <c r="S444" s="95"/>
      <c r="T444" s="95"/>
      <c r="U444" s="95"/>
      <c r="V444" s="95"/>
      <c r="W444" s="95"/>
      <c r="X444" s="95"/>
      <c r="Y444" s="95"/>
      <c r="Z444" s="95"/>
      <c r="AA444" s="95"/>
      <c r="AB444" s="95"/>
      <c r="AC444" s="95"/>
    </row>
    <row r="445" spans="10:29" x14ac:dyDescent="0.35">
      <c r="J445" s="95"/>
      <c r="K445" s="95"/>
      <c r="L445" s="95"/>
      <c r="M445" s="95"/>
      <c r="N445" s="95"/>
      <c r="O445" s="95"/>
      <c r="P445" s="95"/>
      <c r="Q445" s="95"/>
      <c r="R445" s="95"/>
      <c r="S445" s="95"/>
      <c r="T445" s="95"/>
      <c r="U445" s="95"/>
      <c r="V445" s="95"/>
      <c r="W445" s="95"/>
      <c r="X445" s="95"/>
      <c r="Y445" s="95"/>
      <c r="Z445" s="95"/>
      <c r="AA445" s="95"/>
      <c r="AB445" s="95"/>
      <c r="AC445" s="95"/>
    </row>
    <row r="446" spans="10:29" x14ac:dyDescent="0.35">
      <c r="J446" s="95"/>
      <c r="K446" s="95"/>
      <c r="L446" s="95"/>
      <c r="M446" s="95"/>
      <c r="N446" s="95"/>
      <c r="O446" s="95"/>
      <c r="P446" s="95"/>
      <c r="Q446" s="95"/>
      <c r="R446" s="95"/>
      <c r="S446" s="95"/>
      <c r="T446" s="95"/>
      <c r="U446" s="95"/>
      <c r="V446" s="95"/>
      <c r="W446" s="95"/>
      <c r="X446" s="95"/>
      <c r="Y446" s="95"/>
      <c r="Z446" s="95"/>
      <c r="AA446" s="95"/>
      <c r="AB446" s="95"/>
      <c r="AC446" s="95"/>
    </row>
    <row r="447" spans="10:29" x14ac:dyDescent="0.35">
      <c r="J447" s="95"/>
      <c r="K447" s="95"/>
      <c r="L447" s="95"/>
      <c r="M447" s="95"/>
      <c r="N447" s="95"/>
      <c r="O447" s="95"/>
      <c r="P447" s="95"/>
      <c r="Q447" s="95"/>
      <c r="R447" s="95"/>
      <c r="S447" s="95"/>
      <c r="T447" s="95"/>
      <c r="U447" s="95"/>
      <c r="V447" s="95"/>
      <c r="W447" s="95"/>
      <c r="X447" s="95"/>
      <c r="Y447" s="95"/>
      <c r="Z447" s="95"/>
      <c r="AA447" s="95"/>
      <c r="AB447" s="95"/>
      <c r="AC447" s="95"/>
    </row>
    <row r="448" spans="10:29" x14ac:dyDescent="0.35">
      <c r="J448" s="95"/>
      <c r="K448" s="95"/>
      <c r="L448" s="95"/>
      <c r="M448" s="95"/>
      <c r="N448" s="95"/>
      <c r="O448" s="95"/>
      <c r="P448" s="95"/>
      <c r="Q448" s="95"/>
      <c r="R448" s="95"/>
      <c r="S448" s="95"/>
      <c r="T448" s="95"/>
      <c r="U448" s="95"/>
      <c r="V448" s="95"/>
      <c r="W448" s="95"/>
      <c r="X448" s="95"/>
      <c r="Y448" s="95"/>
      <c r="Z448" s="95"/>
      <c r="AA448" s="95"/>
      <c r="AB448" s="95"/>
      <c r="AC448" s="95"/>
    </row>
    <row r="449" spans="10:29" x14ac:dyDescent="0.35">
      <c r="J449" s="95"/>
      <c r="K449" s="95"/>
      <c r="L449" s="95"/>
      <c r="M449" s="95"/>
      <c r="N449" s="95"/>
      <c r="O449" s="95"/>
      <c r="P449" s="95"/>
      <c r="Q449" s="95"/>
      <c r="R449" s="95"/>
      <c r="S449" s="95"/>
      <c r="T449" s="95"/>
      <c r="U449" s="95"/>
      <c r="V449" s="95"/>
      <c r="W449" s="95"/>
      <c r="X449" s="95"/>
      <c r="Y449" s="95"/>
      <c r="Z449" s="95"/>
      <c r="AA449" s="95"/>
      <c r="AB449" s="95"/>
      <c r="AC449" s="95"/>
    </row>
    <row r="450" spans="10:29" x14ac:dyDescent="0.35">
      <c r="J450" s="95"/>
      <c r="K450" s="95"/>
      <c r="L450" s="95"/>
      <c r="M450" s="95"/>
      <c r="N450" s="95"/>
      <c r="O450" s="95"/>
      <c r="P450" s="95"/>
      <c r="Q450" s="95"/>
      <c r="R450" s="95"/>
      <c r="S450" s="95"/>
      <c r="T450" s="95"/>
      <c r="U450" s="95"/>
      <c r="V450" s="95"/>
      <c r="W450" s="95"/>
      <c r="X450" s="95"/>
      <c r="Y450" s="95"/>
      <c r="Z450" s="95"/>
      <c r="AA450" s="95"/>
      <c r="AB450" s="95"/>
      <c r="AC450" s="95"/>
    </row>
    <row r="451" spans="10:29" x14ac:dyDescent="0.35">
      <c r="J451" s="95"/>
      <c r="K451" s="95"/>
      <c r="L451" s="95"/>
      <c r="M451" s="95"/>
      <c r="N451" s="95"/>
      <c r="O451" s="95"/>
      <c r="P451" s="95"/>
      <c r="Q451" s="95"/>
      <c r="R451" s="95"/>
      <c r="S451" s="95"/>
      <c r="T451" s="95"/>
      <c r="U451" s="95"/>
      <c r="V451" s="95"/>
      <c r="W451" s="95"/>
      <c r="X451" s="95"/>
      <c r="Y451" s="95"/>
      <c r="Z451" s="95"/>
      <c r="AA451" s="95"/>
      <c r="AB451" s="95"/>
      <c r="AC451" s="95"/>
    </row>
    <row r="452" spans="10:29" x14ac:dyDescent="0.35">
      <c r="J452" s="95"/>
      <c r="K452" s="95"/>
      <c r="L452" s="95"/>
      <c r="M452" s="95"/>
      <c r="N452" s="95"/>
      <c r="O452" s="95"/>
      <c r="P452" s="95"/>
      <c r="Q452" s="95"/>
      <c r="R452" s="95"/>
      <c r="S452" s="95"/>
      <c r="T452" s="95"/>
      <c r="U452" s="95"/>
      <c r="V452" s="95"/>
      <c r="W452" s="95"/>
      <c r="X452" s="95"/>
      <c r="Y452" s="95"/>
      <c r="Z452" s="95"/>
      <c r="AA452" s="95"/>
      <c r="AB452" s="95"/>
      <c r="AC452" s="95"/>
    </row>
    <row r="453" spans="10:29" x14ac:dyDescent="0.35">
      <c r="J453" s="95"/>
      <c r="K453" s="95"/>
      <c r="L453" s="95"/>
      <c r="M453" s="95"/>
      <c r="N453" s="95"/>
      <c r="O453" s="95"/>
      <c r="P453" s="95"/>
      <c r="Q453" s="95"/>
      <c r="R453" s="95"/>
      <c r="S453" s="95"/>
      <c r="T453" s="95"/>
      <c r="U453" s="95"/>
      <c r="V453" s="95"/>
      <c r="W453" s="95"/>
      <c r="X453" s="95"/>
      <c r="Y453" s="95"/>
      <c r="Z453" s="95"/>
      <c r="AA453" s="95"/>
      <c r="AB453" s="95"/>
      <c r="AC453" s="95"/>
    </row>
    <row r="454" spans="10:29" x14ac:dyDescent="0.35">
      <c r="J454" s="95"/>
      <c r="K454" s="95"/>
      <c r="L454" s="95"/>
      <c r="M454" s="95"/>
      <c r="N454" s="95"/>
      <c r="O454" s="95"/>
      <c r="P454" s="95"/>
      <c r="Q454" s="95"/>
      <c r="R454" s="95"/>
      <c r="S454" s="95"/>
      <c r="T454" s="95"/>
      <c r="U454" s="95"/>
      <c r="V454" s="95"/>
      <c r="W454" s="95"/>
      <c r="X454" s="95"/>
      <c r="Y454" s="95"/>
      <c r="Z454" s="95"/>
      <c r="AA454" s="95"/>
      <c r="AB454" s="95"/>
      <c r="AC454" s="95"/>
    </row>
    <row r="455" spans="10:29" x14ac:dyDescent="0.35">
      <c r="J455" s="95"/>
      <c r="K455" s="95"/>
      <c r="L455" s="95"/>
      <c r="M455" s="95"/>
      <c r="N455" s="95"/>
      <c r="O455" s="95"/>
      <c r="P455" s="95"/>
      <c r="Q455" s="95"/>
      <c r="R455" s="95"/>
      <c r="S455" s="95"/>
      <c r="T455" s="95"/>
      <c r="U455" s="95"/>
      <c r="V455" s="95"/>
      <c r="W455" s="95"/>
      <c r="X455" s="95"/>
      <c r="Y455" s="95"/>
      <c r="Z455" s="95"/>
      <c r="AA455" s="95"/>
      <c r="AB455" s="95"/>
      <c r="AC455" s="95"/>
    </row>
    <row r="456" spans="10:29" x14ac:dyDescent="0.35">
      <c r="J456" s="95"/>
      <c r="K456" s="95"/>
      <c r="L456" s="95"/>
      <c r="M456" s="95"/>
      <c r="N456" s="95"/>
      <c r="O456" s="95"/>
      <c r="P456" s="95"/>
      <c r="Q456" s="95"/>
      <c r="R456" s="95"/>
      <c r="S456" s="95"/>
      <c r="T456" s="95"/>
      <c r="U456" s="95"/>
      <c r="V456" s="95"/>
      <c r="W456" s="95"/>
      <c r="X456" s="95"/>
      <c r="Y456" s="95"/>
      <c r="Z456" s="95"/>
      <c r="AA456" s="95"/>
      <c r="AB456" s="95"/>
      <c r="AC456" s="95"/>
    </row>
    <row r="457" spans="10:29" x14ac:dyDescent="0.35">
      <c r="J457" s="95"/>
      <c r="K457" s="95"/>
      <c r="L457" s="95"/>
      <c r="M457" s="95"/>
      <c r="N457" s="95"/>
      <c r="O457" s="95"/>
      <c r="P457" s="95"/>
      <c r="Q457" s="95"/>
      <c r="R457" s="95"/>
      <c r="S457" s="95"/>
      <c r="T457" s="95"/>
      <c r="U457" s="95"/>
      <c r="V457" s="95"/>
      <c r="W457" s="95"/>
      <c r="X457" s="95"/>
      <c r="Y457" s="95"/>
      <c r="Z457" s="95"/>
      <c r="AA457" s="95"/>
      <c r="AB457" s="95"/>
      <c r="AC457" s="95"/>
    </row>
    <row r="458" spans="10:29" x14ac:dyDescent="0.35">
      <c r="J458" s="95"/>
      <c r="K458" s="95"/>
      <c r="L458" s="95"/>
      <c r="M458" s="95"/>
      <c r="N458" s="95"/>
      <c r="O458" s="95"/>
      <c r="P458" s="95"/>
      <c r="Q458" s="95"/>
      <c r="R458" s="95"/>
      <c r="S458" s="95"/>
      <c r="T458" s="95"/>
      <c r="U458" s="95"/>
      <c r="V458" s="95"/>
      <c r="W458" s="95"/>
      <c r="X458" s="95"/>
      <c r="Y458" s="95"/>
      <c r="Z458" s="95"/>
      <c r="AA458" s="95"/>
      <c r="AB458" s="95"/>
      <c r="AC458" s="95"/>
    </row>
    <row r="459" spans="10:29" x14ac:dyDescent="0.35">
      <c r="J459" s="95"/>
      <c r="K459" s="95"/>
      <c r="L459" s="95"/>
      <c r="M459" s="95"/>
      <c r="N459" s="95"/>
      <c r="O459" s="95"/>
      <c r="P459" s="95"/>
      <c r="Q459" s="95"/>
      <c r="R459" s="95"/>
      <c r="S459" s="95"/>
      <c r="T459" s="95"/>
      <c r="U459" s="95"/>
      <c r="V459" s="95"/>
      <c r="W459" s="95"/>
      <c r="X459" s="95"/>
      <c r="Y459" s="95"/>
      <c r="Z459" s="95"/>
      <c r="AA459" s="95"/>
      <c r="AB459" s="95"/>
      <c r="AC459" s="95"/>
    </row>
    <row r="460" spans="10:29" x14ac:dyDescent="0.35">
      <c r="J460" s="95"/>
      <c r="K460" s="95"/>
      <c r="L460" s="95"/>
      <c r="M460" s="95"/>
      <c r="N460" s="95"/>
      <c r="O460" s="95"/>
      <c r="P460" s="95"/>
      <c r="Q460" s="95"/>
      <c r="R460" s="95"/>
      <c r="S460" s="95"/>
      <c r="T460" s="95"/>
      <c r="U460" s="95"/>
      <c r="V460" s="95"/>
      <c r="W460" s="95"/>
      <c r="X460" s="95"/>
      <c r="Y460" s="95"/>
      <c r="Z460" s="95"/>
      <c r="AA460" s="95"/>
      <c r="AB460" s="95"/>
      <c r="AC460" s="95"/>
    </row>
  </sheetData>
  <sheetProtection sheet="1"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0EC-90A2-407B-9611-E65A5BDA8B69}">
  <sheetPr>
    <tabColor rgb="FFA3C5BF"/>
  </sheetPr>
  <dimension ref="B3:AB40"/>
  <sheetViews>
    <sheetView showGridLines="0" workbookViewId="0">
      <selection activeCell="P5" sqref="P5"/>
    </sheetView>
  </sheetViews>
  <sheetFormatPr defaultColWidth="8.7265625" defaultRowHeight="14.5" x14ac:dyDescent="0.35"/>
  <cols>
    <col min="1" max="1" width="5.81640625" style="29" customWidth="1"/>
    <col min="2" max="2" width="31.7265625" style="29" customWidth="1"/>
    <col min="3" max="3" width="21.54296875" style="30" customWidth="1"/>
    <col min="4" max="4" width="21.54296875" style="29" customWidth="1"/>
    <col min="5" max="16384" width="8.7265625" style="29"/>
  </cols>
  <sheetData>
    <row r="3" spans="2:28" ht="15" customHeight="1" x14ac:dyDescent="0.35">
      <c r="B3" s="24" t="s">
        <v>226</v>
      </c>
      <c r="C3" s="23"/>
      <c r="D3" s="20"/>
      <c r="E3" s="20"/>
      <c r="F3" s="20"/>
      <c r="G3" s="20"/>
      <c r="H3" s="20"/>
      <c r="I3" s="20"/>
      <c r="J3" s="20"/>
      <c r="K3" s="20"/>
      <c r="L3" s="20"/>
    </row>
    <row r="4" spans="2:28" ht="43.5" x14ac:dyDescent="0.35">
      <c r="B4" s="41"/>
      <c r="C4" s="40" t="s">
        <v>94</v>
      </c>
      <c r="D4" s="47" t="s">
        <v>5</v>
      </c>
      <c r="E4" s="47" t="s">
        <v>8</v>
      </c>
      <c r="F4" s="48" t="s">
        <v>14</v>
      </c>
      <c r="G4" s="48" t="s">
        <v>17</v>
      </c>
      <c r="H4" s="48" t="s">
        <v>20</v>
      </c>
      <c r="I4" s="48" t="s">
        <v>23</v>
      </c>
      <c r="J4" s="48" t="s">
        <v>26</v>
      </c>
      <c r="K4" s="48" t="s">
        <v>28</v>
      </c>
      <c r="L4" s="48" t="s">
        <v>31</v>
      </c>
    </row>
    <row r="5" spans="2:28" x14ac:dyDescent="0.35">
      <c r="B5" s="21" t="s">
        <v>4</v>
      </c>
      <c r="C5" s="23" t="s">
        <v>98</v>
      </c>
      <c r="D5" s="20">
        <v>91.16</v>
      </c>
      <c r="E5" s="25">
        <v>94.311786567164177</v>
      </c>
      <c r="F5" s="25">
        <v>94.311786567164177</v>
      </c>
      <c r="G5" s="25">
        <v>16.383510000000001</v>
      </c>
      <c r="H5" s="25">
        <v>76.080740000000006</v>
      </c>
      <c r="I5" s="25">
        <v>82.868080000000006</v>
      </c>
      <c r="J5" s="25">
        <v>20.786840000000002</v>
      </c>
      <c r="K5" s="38">
        <v>27.452010000000001</v>
      </c>
      <c r="L5" s="25">
        <f>'CCC Summary'!$C$61</f>
        <v>9.4311786567164155</v>
      </c>
    </row>
    <row r="6" spans="2:28" x14ac:dyDescent="0.35">
      <c r="B6" s="34" t="s">
        <v>7</v>
      </c>
      <c r="C6" s="35" t="s">
        <v>98</v>
      </c>
      <c r="D6" s="36">
        <v>77.223905835302944</v>
      </c>
      <c r="E6" s="36">
        <v>77.511786567164194</v>
      </c>
      <c r="F6" s="36"/>
      <c r="G6" s="36"/>
      <c r="H6" s="36"/>
      <c r="I6" s="36"/>
      <c r="J6" s="36"/>
      <c r="K6" s="36"/>
      <c r="L6" s="36"/>
    </row>
    <row r="7" spans="2:28" x14ac:dyDescent="0.35">
      <c r="B7" s="28" t="s">
        <v>227</v>
      </c>
      <c r="C7" s="31" t="s">
        <v>228</v>
      </c>
      <c r="D7" s="32"/>
      <c r="E7" s="32"/>
      <c r="F7" s="33">
        <v>4.07E-2</v>
      </c>
      <c r="G7" s="33">
        <v>3.6999999999999998E-2</v>
      </c>
      <c r="H7" s="33">
        <v>4.9099999999999998E-2</v>
      </c>
      <c r="I7" s="33">
        <v>4.9099999999999998E-2</v>
      </c>
      <c r="J7" s="33">
        <v>4.9099999999999998E-2</v>
      </c>
      <c r="K7" s="33">
        <v>4.9099999999999998E-2</v>
      </c>
      <c r="L7" s="33" t="s">
        <v>229</v>
      </c>
      <c r="M7" s="19"/>
    </row>
    <row r="8" spans="2:28" ht="105" x14ac:dyDescent="0.35">
      <c r="B8" s="27" t="s">
        <v>230</v>
      </c>
      <c r="C8" s="162"/>
      <c r="D8" s="163" t="s">
        <v>231</v>
      </c>
      <c r="E8" s="163" t="s">
        <v>232</v>
      </c>
      <c r="F8" s="163" t="s">
        <v>232</v>
      </c>
      <c r="G8" s="163" t="s">
        <v>324</v>
      </c>
      <c r="H8" s="163" t="s">
        <v>233</v>
      </c>
      <c r="I8" s="163" t="s">
        <v>233</v>
      </c>
      <c r="J8" s="163" t="s">
        <v>325</v>
      </c>
      <c r="K8" s="163" t="s">
        <v>325</v>
      </c>
      <c r="L8" s="164" t="s">
        <v>10</v>
      </c>
      <c r="M8" s="19"/>
    </row>
    <row r="9" spans="2:28" x14ac:dyDescent="0.35">
      <c r="B9" s="23" t="s">
        <v>234</v>
      </c>
      <c r="C9" s="23"/>
      <c r="D9" s="20"/>
      <c r="E9" s="20"/>
      <c r="F9" s="20"/>
      <c r="G9" s="20"/>
      <c r="H9" s="22"/>
      <c r="I9" s="25"/>
      <c r="J9" s="20"/>
      <c r="K9" s="20"/>
      <c r="L9" s="20"/>
    </row>
    <row r="10" spans="2:28" x14ac:dyDescent="0.35">
      <c r="C10" s="20"/>
      <c r="D10" s="20"/>
    </row>
    <row r="11" spans="2:28" x14ac:dyDescent="0.35">
      <c r="B11" s="20"/>
      <c r="C11" s="23"/>
      <c r="D11" s="21"/>
      <c r="E11" s="21"/>
      <c r="F11" s="21"/>
      <c r="G11" s="21"/>
      <c r="H11" s="21"/>
      <c r="I11" s="21"/>
      <c r="J11" s="21"/>
      <c r="K11" s="20"/>
      <c r="L11" s="20"/>
    </row>
    <row r="12" spans="2:28" x14ac:dyDescent="0.35">
      <c r="B12" s="24" t="s">
        <v>235</v>
      </c>
      <c r="C12" s="23"/>
      <c r="D12" s="21"/>
      <c r="E12" s="21"/>
      <c r="F12" s="21"/>
      <c r="G12" s="21"/>
      <c r="H12" s="21"/>
      <c r="I12" s="21"/>
      <c r="J12" s="21"/>
      <c r="K12" s="20"/>
      <c r="L12" s="20"/>
    </row>
    <row r="13" spans="2:28" x14ac:dyDescent="0.35">
      <c r="B13" s="39" t="s">
        <v>236</v>
      </c>
      <c r="C13" s="40" t="s">
        <v>230</v>
      </c>
      <c r="D13" s="40" t="s">
        <v>237</v>
      </c>
      <c r="E13" s="41">
        <v>2027</v>
      </c>
      <c r="F13" s="41">
        <v>2028</v>
      </c>
      <c r="G13" s="41">
        <v>2029</v>
      </c>
      <c r="H13" s="41">
        <v>2030</v>
      </c>
      <c r="I13" s="41">
        <v>2031</v>
      </c>
      <c r="J13" s="41">
        <v>2032</v>
      </c>
      <c r="K13" s="41">
        <v>2033</v>
      </c>
      <c r="L13" s="41">
        <v>2034</v>
      </c>
      <c r="M13" s="41">
        <v>2035</v>
      </c>
      <c r="N13" s="41">
        <v>2036</v>
      </c>
      <c r="O13" s="41">
        <v>2037</v>
      </c>
      <c r="P13" s="41">
        <v>2038</v>
      </c>
      <c r="Q13" s="41">
        <v>2039</v>
      </c>
      <c r="R13" s="41">
        <v>2040</v>
      </c>
      <c r="S13" s="41">
        <v>2041</v>
      </c>
      <c r="T13" s="41">
        <v>2042</v>
      </c>
      <c r="U13" s="41">
        <v>2043</v>
      </c>
      <c r="V13" s="41">
        <v>2044</v>
      </c>
      <c r="W13" s="41">
        <v>2045</v>
      </c>
      <c r="X13" s="41">
        <v>2046</v>
      </c>
      <c r="Y13" s="41">
        <v>2047</v>
      </c>
      <c r="Z13" s="41">
        <v>2048</v>
      </c>
      <c r="AA13" s="41">
        <v>2049</v>
      </c>
      <c r="AB13" s="41">
        <v>2050</v>
      </c>
    </row>
    <row r="14" spans="2:28" x14ac:dyDescent="0.35">
      <c r="B14" s="20" t="s">
        <v>258</v>
      </c>
      <c r="C14" s="37" t="s">
        <v>238</v>
      </c>
      <c r="D14" s="23" t="s">
        <v>239</v>
      </c>
      <c r="E14" s="153">
        <v>0.03</v>
      </c>
      <c r="F14" s="153">
        <v>6.5000000000000002E-2</v>
      </c>
      <c r="G14" s="153">
        <v>8.5000000000000006E-2</v>
      </c>
      <c r="H14" s="153">
        <v>0.12</v>
      </c>
      <c r="I14" s="153">
        <v>0.17</v>
      </c>
      <c r="J14" s="153">
        <v>0.22500000000000001</v>
      </c>
      <c r="K14" s="153">
        <v>0.28000000000000003</v>
      </c>
      <c r="L14" s="153">
        <v>0.33500000000000002</v>
      </c>
      <c r="M14" s="153">
        <v>0.38500000000000001</v>
      </c>
      <c r="N14" s="153">
        <f>($R$14-$M$14)/5+M14</f>
        <v>0.443</v>
      </c>
      <c r="O14" s="153">
        <f>($R$14-$M$14)/5+N14</f>
        <v>0.501</v>
      </c>
      <c r="P14" s="153">
        <f>($R$14-$M$14)/5+O14</f>
        <v>0.55900000000000005</v>
      </c>
      <c r="Q14" s="153">
        <f>($R$14-$M$14)/5+P14</f>
        <v>0.6170000000000001</v>
      </c>
      <c r="R14" s="153">
        <v>0.67500000000000004</v>
      </c>
      <c r="S14" s="153">
        <f>($W$14-$R$14)/5+R14</f>
        <v>0.70600000000000007</v>
      </c>
      <c r="T14" s="153">
        <f>($W$14-$R$14)/5+S14</f>
        <v>0.7370000000000001</v>
      </c>
      <c r="U14" s="153">
        <f>($W$14-$R$14)/5+T14</f>
        <v>0.76800000000000013</v>
      </c>
      <c r="V14" s="153">
        <f>($W$14-$R$14)/5+U14</f>
        <v>0.79900000000000015</v>
      </c>
      <c r="W14" s="153">
        <v>0.83</v>
      </c>
      <c r="X14" s="153">
        <f>($AB$14-$W$14)/5+W14</f>
        <v>0.86</v>
      </c>
      <c r="Y14" s="153">
        <f>($AB$14-$W$14)/5+X14</f>
        <v>0.89</v>
      </c>
      <c r="Z14" s="153">
        <f>($AB$14-$W$14)/5+Y14</f>
        <v>0.92</v>
      </c>
      <c r="AA14" s="153">
        <f>($AB$14-$W$14)/5+Z14</f>
        <v>0.95000000000000007</v>
      </c>
      <c r="AB14" s="153">
        <v>0.98</v>
      </c>
    </row>
    <row r="15" spans="2:28" x14ac:dyDescent="0.35">
      <c r="B15" s="43" t="s">
        <v>259</v>
      </c>
      <c r="C15" s="42" t="s">
        <v>238</v>
      </c>
      <c r="D15" s="35" t="s">
        <v>239</v>
      </c>
      <c r="E15" s="154">
        <v>7.4999999999999997E-2</v>
      </c>
      <c r="F15" s="154">
        <v>0.13</v>
      </c>
      <c r="G15" s="154">
        <v>0.19500000000000001</v>
      </c>
      <c r="H15" s="154">
        <v>0.245</v>
      </c>
      <c r="I15" s="154">
        <v>0.3</v>
      </c>
      <c r="J15" s="154">
        <v>0.35499999999999998</v>
      </c>
      <c r="K15" s="154">
        <v>0.41</v>
      </c>
      <c r="L15" s="154">
        <v>0.46</v>
      </c>
      <c r="M15" s="154">
        <v>0.51500000000000001</v>
      </c>
      <c r="N15" s="154">
        <f>($R$15-$M$15)/5+M15</f>
        <v>0.56900000000000006</v>
      </c>
      <c r="O15" s="154">
        <f>($R$15-$M$15)/5+N15</f>
        <v>0.62300000000000011</v>
      </c>
      <c r="P15" s="154">
        <f>($R$15-$M$15)/5+O15</f>
        <v>0.67700000000000016</v>
      </c>
      <c r="Q15" s="154">
        <f>($R$15-$M$15)/5+P15</f>
        <v>0.73100000000000021</v>
      </c>
      <c r="R15" s="154">
        <v>0.78500000000000003</v>
      </c>
      <c r="S15" s="154">
        <f>($W$15-$R$15)/5+R15</f>
        <v>0.80600000000000005</v>
      </c>
      <c r="T15" s="154">
        <f>($W$15-$R$15)/5+S15</f>
        <v>0.82700000000000007</v>
      </c>
      <c r="U15" s="154">
        <f>($W$15-$R$15)/5+T15</f>
        <v>0.84800000000000009</v>
      </c>
      <c r="V15" s="154">
        <f>($W$15-$R$15)/5+U15</f>
        <v>0.86900000000000011</v>
      </c>
      <c r="W15" s="154">
        <v>0.89</v>
      </c>
      <c r="X15" s="154">
        <f>($AB$15-$W$15)/5+W15</f>
        <v>0.90800000000000003</v>
      </c>
      <c r="Y15" s="154">
        <f>($AB$15-$W$15)/5+X15</f>
        <v>0.92600000000000005</v>
      </c>
      <c r="Z15" s="154">
        <f>($AB$15-$W$15)/5+Y15</f>
        <v>0.94400000000000006</v>
      </c>
      <c r="AA15" s="154">
        <f>($AB$15-$W$15)/5+Z15</f>
        <v>0.96200000000000008</v>
      </c>
      <c r="AB15" s="154">
        <v>0.98</v>
      </c>
    </row>
    <row r="16" spans="2:28" x14ac:dyDescent="0.35">
      <c r="B16" s="29" t="s">
        <v>260</v>
      </c>
      <c r="C16" s="37" t="s">
        <v>240</v>
      </c>
      <c r="D16" s="44" t="s">
        <v>239</v>
      </c>
      <c r="E16" s="153">
        <v>5.0000000000000044E-2</v>
      </c>
      <c r="F16" s="153">
        <v>9.9999999999999978E-2</v>
      </c>
      <c r="G16" s="153">
        <v>9.9999999999999978E-2</v>
      </c>
      <c r="H16" s="153">
        <v>0.19999999999999996</v>
      </c>
      <c r="I16" s="153">
        <v>0.19999999999999996</v>
      </c>
      <c r="J16" s="153">
        <v>0.19999999999999996</v>
      </c>
      <c r="K16" s="153">
        <v>0.19999999999999996</v>
      </c>
      <c r="L16" s="153">
        <v>0.19999999999999996</v>
      </c>
      <c r="M16" s="153">
        <v>0.4</v>
      </c>
      <c r="N16" s="153">
        <v>0.4</v>
      </c>
      <c r="O16" s="153">
        <v>0.4</v>
      </c>
      <c r="P16" s="153">
        <v>0.4</v>
      </c>
      <c r="Q16" s="153">
        <v>0.4</v>
      </c>
      <c r="R16" s="153">
        <v>0.7</v>
      </c>
      <c r="S16" s="153">
        <v>0.7</v>
      </c>
      <c r="T16" s="153">
        <v>0.7</v>
      </c>
      <c r="U16" s="153">
        <v>0.7</v>
      </c>
      <c r="V16" s="153">
        <v>0.7</v>
      </c>
      <c r="W16" s="153">
        <v>0.85</v>
      </c>
      <c r="X16" s="153">
        <v>0.85</v>
      </c>
      <c r="Y16" s="153">
        <v>0.85</v>
      </c>
      <c r="Z16" s="153">
        <v>0.85</v>
      </c>
      <c r="AA16" s="153">
        <v>0.85</v>
      </c>
      <c r="AB16" s="153">
        <v>0.98</v>
      </c>
    </row>
    <row r="17" spans="2:28" x14ac:dyDescent="0.35">
      <c r="B17" s="43" t="s">
        <v>261</v>
      </c>
      <c r="C17" s="42" t="s">
        <v>240</v>
      </c>
      <c r="D17" s="35" t="s">
        <v>239</v>
      </c>
      <c r="E17" s="154">
        <v>0.1</v>
      </c>
      <c r="F17" s="154">
        <v>9.9999999999999978E-2</v>
      </c>
      <c r="G17" s="154">
        <v>0.19999999999999996</v>
      </c>
      <c r="H17" s="154">
        <v>0.30000000000000004</v>
      </c>
      <c r="I17" s="154">
        <v>0.30000000000000004</v>
      </c>
      <c r="J17" s="154">
        <v>0.30000000000000004</v>
      </c>
      <c r="K17" s="154">
        <v>0.30000000000000004</v>
      </c>
      <c r="L17" s="154">
        <v>0.30000000000000004</v>
      </c>
      <c r="M17" s="154">
        <v>0.5</v>
      </c>
      <c r="N17" s="154">
        <v>0.5</v>
      </c>
      <c r="O17" s="154">
        <v>0.5</v>
      </c>
      <c r="P17" s="154">
        <v>0.5</v>
      </c>
      <c r="Q17" s="154">
        <v>0.5</v>
      </c>
      <c r="R17" s="154">
        <v>0.8</v>
      </c>
      <c r="S17" s="154">
        <v>0.8</v>
      </c>
      <c r="T17" s="154">
        <v>0.8</v>
      </c>
      <c r="U17" s="154">
        <v>0.8</v>
      </c>
      <c r="V17" s="154">
        <v>0.8</v>
      </c>
      <c r="W17" s="154">
        <v>0.9</v>
      </c>
      <c r="X17" s="154">
        <v>0.9</v>
      </c>
      <c r="Y17" s="154">
        <v>0.9</v>
      </c>
      <c r="Z17" s="154">
        <v>0.9</v>
      </c>
      <c r="AA17" s="154">
        <v>0.9</v>
      </c>
      <c r="AB17" s="154">
        <v>0.98</v>
      </c>
    </row>
    <row r="18" spans="2:28" x14ac:dyDescent="0.35">
      <c r="B18" s="20" t="s">
        <v>262</v>
      </c>
      <c r="C18" s="37" t="s">
        <v>240</v>
      </c>
      <c r="D18" s="27" t="s">
        <v>239</v>
      </c>
      <c r="E18" s="153">
        <v>0</v>
      </c>
      <c r="F18" s="153">
        <v>0</v>
      </c>
      <c r="G18" s="153">
        <v>0</v>
      </c>
      <c r="H18" s="153">
        <v>0</v>
      </c>
      <c r="I18" s="153">
        <v>0</v>
      </c>
      <c r="J18" s="153">
        <v>0</v>
      </c>
      <c r="K18" s="153">
        <v>0</v>
      </c>
      <c r="L18" s="153">
        <v>0</v>
      </c>
      <c r="M18" s="153">
        <v>0</v>
      </c>
      <c r="N18" s="153">
        <v>0</v>
      </c>
      <c r="O18" s="153">
        <v>0</v>
      </c>
      <c r="P18" s="153">
        <v>0</v>
      </c>
      <c r="Q18" s="153">
        <v>0</v>
      </c>
      <c r="R18" s="153">
        <v>0</v>
      </c>
      <c r="S18" s="153">
        <v>0</v>
      </c>
      <c r="T18" s="153">
        <v>0</v>
      </c>
      <c r="U18" s="153">
        <v>0</v>
      </c>
      <c r="V18" s="153">
        <v>0</v>
      </c>
      <c r="W18" s="153">
        <v>0</v>
      </c>
      <c r="X18" s="153">
        <v>0</v>
      </c>
      <c r="Y18" s="153">
        <v>0</v>
      </c>
      <c r="Z18" s="153">
        <v>0</v>
      </c>
      <c r="AA18" s="153">
        <v>0</v>
      </c>
      <c r="AB18" s="153">
        <v>0</v>
      </c>
    </row>
    <row r="19" spans="2:28" x14ac:dyDescent="0.35">
      <c r="B19" s="43" t="s">
        <v>22</v>
      </c>
      <c r="C19" s="42" t="s">
        <v>241</v>
      </c>
      <c r="D19" s="35" t="s">
        <v>242</v>
      </c>
      <c r="E19" s="154">
        <v>18.75</v>
      </c>
      <c r="F19" s="154">
        <v>18.75</v>
      </c>
      <c r="G19" s="154">
        <v>18.75</v>
      </c>
      <c r="H19" s="154">
        <v>18.75</v>
      </c>
      <c r="I19" s="154">
        <v>18.75</v>
      </c>
      <c r="J19" s="154">
        <v>18.75</v>
      </c>
      <c r="K19" s="154">
        <v>18.75</v>
      </c>
      <c r="L19" s="154">
        <v>18.75</v>
      </c>
      <c r="M19" s="154">
        <v>18.75</v>
      </c>
      <c r="N19" s="154">
        <v>18.75</v>
      </c>
      <c r="O19" s="154">
        <v>18.75</v>
      </c>
      <c r="P19" s="154">
        <v>18.75</v>
      </c>
      <c r="Q19" s="154">
        <v>18.75</v>
      </c>
      <c r="R19" s="154">
        <v>18.75</v>
      </c>
      <c r="S19" s="154">
        <v>18.75</v>
      </c>
      <c r="T19" s="154">
        <v>18.75</v>
      </c>
      <c r="U19" s="154">
        <v>18.75</v>
      </c>
      <c r="V19" s="154">
        <v>18.75</v>
      </c>
      <c r="W19" s="154">
        <v>18.75</v>
      </c>
      <c r="X19" s="154">
        <v>18.75</v>
      </c>
      <c r="Y19" s="154">
        <v>18.75</v>
      </c>
      <c r="Z19" s="154">
        <v>18.75</v>
      </c>
      <c r="AA19" s="154">
        <v>18.75</v>
      </c>
      <c r="AB19" s="154">
        <v>18.75</v>
      </c>
    </row>
    <row r="20" spans="2:28" x14ac:dyDescent="0.35">
      <c r="B20" s="20" t="s">
        <v>25</v>
      </c>
      <c r="C20" s="37" t="s">
        <v>243</v>
      </c>
      <c r="D20" s="27" t="s">
        <v>242</v>
      </c>
      <c r="E20" s="153">
        <v>100</v>
      </c>
      <c r="F20" s="153">
        <v>100</v>
      </c>
      <c r="G20" s="153">
        <v>100</v>
      </c>
      <c r="H20" s="153">
        <v>100</v>
      </c>
      <c r="I20" s="153">
        <v>100</v>
      </c>
      <c r="J20" s="153">
        <v>100</v>
      </c>
      <c r="K20" s="153">
        <v>100</v>
      </c>
      <c r="L20" s="153">
        <v>100</v>
      </c>
      <c r="M20" s="153">
        <v>100</v>
      </c>
      <c r="N20" s="153">
        <v>100</v>
      </c>
      <c r="O20" s="153">
        <v>100</v>
      </c>
      <c r="P20" s="153">
        <v>100</v>
      </c>
      <c r="Q20" s="153">
        <v>100</v>
      </c>
      <c r="R20" s="153">
        <v>100</v>
      </c>
      <c r="S20" s="153">
        <v>100</v>
      </c>
      <c r="T20" s="153">
        <v>100</v>
      </c>
      <c r="U20" s="153">
        <v>100</v>
      </c>
      <c r="V20" s="153">
        <v>100</v>
      </c>
      <c r="W20" s="153">
        <v>100</v>
      </c>
      <c r="X20" s="153">
        <v>100</v>
      </c>
      <c r="Y20" s="153">
        <v>100</v>
      </c>
      <c r="Z20" s="153">
        <v>100</v>
      </c>
      <c r="AA20" s="153">
        <v>100</v>
      </c>
      <c r="AB20" s="153">
        <v>100</v>
      </c>
    </row>
    <row r="21" spans="2:28" x14ac:dyDescent="0.35">
      <c r="B21" s="156" t="s">
        <v>27</v>
      </c>
      <c r="C21" s="42" t="s">
        <v>243</v>
      </c>
      <c r="D21" s="157" t="s">
        <v>242</v>
      </c>
      <c r="E21" s="154">
        <v>150</v>
      </c>
      <c r="F21" s="154">
        <v>150</v>
      </c>
      <c r="G21" s="154">
        <v>150</v>
      </c>
      <c r="H21" s="154">
        <v>150</v>
      </c>
      <c r="I21" s="154">
        <v>150</v>
      </c>
      <c r="J21" s="154">
        <v>150</v>
      </c>
      <c r="K21" s="154">
        <v>150</v>
      </c>
      <c r="L21" s="154">
        <v>150</v>
      </c>
      <c r="M21" s="154">
        <v>150</v>
      </c>
      <c r="N21" s="154">
        <v>150</v>
      </c>
      <c r="O21" s="154">
        <v>150</v>
      </c>
      <c r="P21" s="154">
        <v>150</v>
      </c>
      <c r="Q21" s="154">
        <v>150</v>
      </c>
      <c r="R21" s="154">
        <v>150</v>
      </c>
      <c r="S21" s="154">
        <v>150</v>
      </c>
      <c r="T21" s="154">
        <v>150</v>
      </c>
      <c r="U21" s="154">
        <v>150</v>
      </c>
      <c r="V21" s="154">
        <v>150</v>
      </c>
      <c r="W21" s="154">
        <v>150</v>
      </c>
      <c r="X21" s="154">
        <v>150</v>
      </c>
      <c r="Y21" s="154">
        <v>150</v>
      </c>
      <c r="Z21" s="154">
        <v>150</v>
      </c>
      <c r="AA21" s="154">
        <v>150</v>
      </c>
      <c r="AB21" s="154">
        <v>150</v>
      </c>
    </row>
    <row r="22" spans="2:28" x14ac:dyDescent="0.35">
      <c r="B22" s="20" t="s">
        <v>30</v>
      </c>
      <c r="C22" s="37"/>
      <c r="D22" s="27" t="s">
        <v>242</v>
      </c>
      <c r="E22" s="153">
        <v>0</v>
      </c>
      <c r="F22" s="153">
        <v>0</v>
      </c>
      <c r="G22" s="153">
        <v>0</v>
      </c>
      <c r="H22" s="153">
        <v>0</v>
      </c>
      <c r="I22" s="153">
        <v>0</v>
      </c>
      <c r="J22" s="153">
        <v>0</v>
      </c>
      <c r="K22" s="153">
        <v>0</v>
      </c>
      <c r="L22" s="153">
        <v>0</v>
      </c>
      <c r="M22" s="153">
        <v>0</v>
      </c>
      <c r="N22" s="153">
        <v>0</v>
      </c>
      <c r="O22" s="153">
        <v>0</v>
      </c>
      <c r="P22" s="153">
        <v>0</v>
      </c>
      <c r="Q22" s="153">
        <v>0</v>
      </c>
      <c r="R22" s="153">
        <v>0</v>
      </c>
      <c r="S22" s="153">
        <v>0</v>
      </c>
      <c r="T22" s="153">
        <v>0</v>
      </c>
      <c r="U22" s="153">
        <v>0</v>
      </c>
      <c r="V22" s="153">
        <v>0</v>
      </c>
      <c r="W22" s="153">
        <v>0</v>
      </c>
      <c r="X22" s="153">
        <v>0</v>
      </c>
      <c r="Y22" s="153">
        <v>0</v>
      </c>
      <c r="Z22" s="153">
        <v>0</v>
      </c>
      <c r="AA22" s="153">
        <v>0</v>
      </c>
      <c r="AB22" s="153">
        <v>0</v>
      </c>
    </row>
    <row r="23" spans="2:28" x14ac:dyDescent="0.35">
      <c r="B23" s="43" t="s">
        <v>305</v>
      </c>
      <c r="C23" s="42" t="s">
        <v>244</v>
      </c>
      <c r="D23" s="35" t="s">
        <v>242</v>
      </c>
      <c r="E23" s="154">
        <v>294</v>
      </c>
      <c r="F23" s="154">
        <v>294</v>
      </c>
      <c r="G23" s="154">
        <v>294</v>
      </c>
      <c r="H23" s="154">
        <v>232</v>
      </c>
      <c r="I23" s="154">
        <v>232</v>
      </c>
      <c r="J23" s="154">
        <v>232</v>
      </c>
      <c r="K23" s="154">
        <v>232</v>
      </c>
      <c r="L23" s="154">
        <v>232</v>
      </c>
      <c r="M23" s="154">
        <v>145</v>
      </c>
      <c r="N23" s="154">
        <v>145</v>
      </c>
      <c r="O23" s="154">
        <v>145</v>
      </c>
      <c r="P23" s="154">
        <v>145</v>
      </c>
      <c r="Q23" s="154">
        <v>145</v>
      </c>
      <c r="R23" s="154">
        <v>61</v>
      </c>
      <c r="S23" s="154">
        <v>61</v>
      </c>
      <c r="T23" s="154">
        <v>61</v>
      </c>
      <c r="U23" s="154">
        <v>61</v>
      </c>
      <c r="V23" s="154">
        <v>61</v>
      </c>
      <c r="W23" s="154">
        <v>0</v>
      </c>
      <c r="X23" s="154">
        <v>0</v>
      </c>
      <c r="Y23" s="154">
        <v>0</v>
      </c>
      <c r="Z23" s="154">
        <v>0</v>
      </c>
      <c r="AA23" s="154">
        <v>0</v>
      </c>
      <c r="AB23" s="154">
        <v>0</v>
      </c>
    </row>
    <row r="24" spans="2:28" x14ac:dyDescent="0.35">
      <c r="B24" s="20" t="s">
        <v>306</v>
      </c>
      <c r="C24" s="37" t="s">
        <v>244</v>
      </c>
      <c r="D24" s="27" t="s">
        <v>242</v>
      </c>
      <c r="E24" s="153">
        <v>352</v>
      </c>
      <c r="F24" s="153">
        <v>352</v>
      </c>
      <c r="G24" s="153">
        <v>352</v>
      </c>
      <c r="H24" s="153">
        <v>270</v>
      </c>
      <c r="I24" s="153">
        <v>270</v>
      </c>
      <c r="J24" s="153">
        <v>270</v>
      </c>
      <c r="K24" s="153">
        <v>270</v>
      </c>
      <c r="L24" s="153">
        <v>270</v>
      </c>
      <c r="M24" s="153">
        <v>177</v>
      </c>
      <c r="N24" s="153">
        <v>177</v>
      </c>
      <c r="O24" s="153">
        <v>177</v>
      </c>
      <c r="P24" s="153">
        <v>177</v>
      </c>
      <c r="Q24" s="153">
        <v>177</v>
      </c>
      <c r="R24" s="153">
        <v>107</v>
      </c>
      <c r="S24" s="153">
        <v>107</v>
      </c>
      <c r="T24" s="153">
        <v>107</v>
      </c>
      <c r="U24" s="153">
        <v>107</v>
      </c>
      <c r="V24" s="153">
        <v>107</v>
      </c>
      <c r="W24" s="153">
        <v>0</v>
      </c>
      <c r="X24" s="153">
        <v>0</v>
      </c>
      <c r="Y24" s="153">
        <v>0</v>
      </c>
      <c r="Z24" s="153">
        <v>0</v>
      </c>
      <c r="AA24" s="153">
        <v>0</v>
      </c>
      <c r="AB24" s="153">
        <v>0</v>
      </c>
    </row>
    <row r="25" spans="2:28" x14ac:dyDescent="0.35">
      <c r="B25" s="43" t="s">
        <v>307</v>
      </c>
      <c r="C25" s="42"/>
      <c r="D25" s="35" t="s">
        <v>242</v>
      </c>
      <c r="E25" s="154">
        <v>400</v>
      </c>
      <c r="F25" s="154">
        <v>400</v>
      </c>
      <c r="G25" s="154">
        <v>400</v>
      </c>
      <c r="H25" s="154">
        <v>350</v>
      </c>
      <c r="I25" s="154">
        <v>300</v>
      </c>
      <c r="J25" s="154">
        <v>250</v>
      </c>
      <c r="K25" s="154">
        <v>200</v>
      </c>
      <c r="L25" s="154">
        <v>150</v>
      </c>
      <c r="M25" s="154">
        <v>100</v>
      </c>
      <c r="N25" s="154">
        <v>85</v>
      </c>
      <c r="O25" s="154">
        <v>70</v>
      </c>
      <c r="P25" s="154">
        <v>55</v>
      </c>
      <c r="Q25" s="154">
        <v>40</v>
      </c>
      <c r="R25" s="154">
        <v>25</v>
      </c>
      <c r="S25" s="154">
        <v>23</v>
      </c>
      <c r="T25" s="154">
        <v>21</v>
      </c>
      <c r="U25" s="154">
        <v>19</v>
      </c>
      <c r="V25" s="154">
        <v>17</v>
      </c>
      <c r="W25" s="154">
        <v>15</v>
      </c>
      <c r="X25" s="154">
        <v>13</v>
      </c>
      <c r="Y25" s="154">
        <v>11</v>
      </c>
      <c r="Z25" s="154">
        <v>9</v>
      </c>
      <c r="AA25" s="154">
        <v>7</v>
      </c>
      <c r="AB25" s="154">
        <v>5</v>
      </c>
    </row>
    <row r="26" spans="2:28" x14ac:dyDescent="0.35">
      <c r="B26" s="20" t="s">
        <v>308</v>
      </c>
      <c r="C26" s="37"/>
      <c r="D26" s="27" t="s">
        <v>242</v>
      </c>
      <c r="E26" s="153">
        <f>E25/2</f>
        <v>200</v>
      </c>
      <c r="F26" s="153">
        <f t="shared" ref="F26:AB26" si="0">F25/2</f>
        <v>200</v>
      </c>
      <c r="G26" s="153">
        <f t="shared" si="0"/>
        <v>200</v>
      </c>
      <c r="H26" s="153">
        <f t="shared" si="0"/>
        <v>175</v>
      </c>
      <c r="I26" s="153">
        <f t="shared" si="0"/>
        <v>150</v>
      </c>
      <c r="J26" s="153">
        <f t="shared" si="0"/>
        <v>125</v>
      </c>
      <c r="K26" s="153">
        <f t="shared" si="0"/>
        <v>100</v>
      </c>
      <c r="L26" s="153">
        <f t="shared" si="0"/>
        <v>75</v>
      </c>
      <c r="M26" s="153">
        <f t="shared" si="0"/>
        <v>50</v>
      </c>
      <c r="N26" s="153">
        <f t="shared" si="0"/>
        <v>42.5</v>
      </c>
      <c r="O26" s="153">
        <f t="shared" si="0"/>
        <v>35</v>
      </c>
      <c r="P26" s="153">
        <f t="shared" si="0"/>
        <v>27.5</v>
      </c>
      <c r="Q26" s="153">
        <f t="shared" si="0"/>
        <v>20</v>
      </c>
      <c r="R26" s="153">
        <f t="shared" si="0"/>
        <v>12.5</v>
      </c>
      <c r="S26" s="153">
        <f t="shared" si="0"/>
        <v>11.5</v>
      </c>
      <c r="T26" s="153">
        <f t="shared" si="0"/>
        <v>10.5</v>
      </c>
      <c r="U26" s="153">
        <f t="shared" si="0"/>
        <v>9.5</v>
      </c>
      <c r="V26" s="153">
        <f t="shared" si="0"/>
        <v>8.5</v>
      </c>
      <c r="W26" s="153">
        <f t="shared" si="0"/>
        <v>7.5</v>
      </c>
      <c r="X26" s="153">
        <f t="shared" si="0"/>
        <v>6.5</v>
      </c>
      <c r="Y26" s="153">
        <f t="shared" si="0"/>
        <v>5.5</v>
      </c>
      <c r="Z26" s="153">
        <f t="shared" si="0"/>
        <v>4.5</v>
      </c>
      <c r="AA26" s="153">
        <f t="shared" si="0"/>
        <v>3.5</v>
      </c>
      <c r="AB26" s="153">
        <f t="shared" si="0"/>
        <v>2.5</v>
      </c>
    </row>
    <row r="27" spans="2:28" x14ac:dyDescent="0.35">
      <c r="B27" s="158" t="s">
        <v>33</v>
      </c>
      <c r="C27" s="159"/>
      <c r="D27" s="160" t="s">
        <v>242</v>
      </c>
      <c r="E27" s="161">
        <v>0</v>
      </c>
      <c r="F27" s="161">
        <v>0</v>
      </c>
      <c r="G27" s="161">
        <v>0</v>
      </c>
      <c r="H27" s="161">
        <v>0</v>
      </c>
      <c r="I27" s="161">
        <v>0</v>
      </c>
      <c r="J27" s="161">
        <v>0</v>
      </c>
      <c r="K27" s="161">
        <v>0</v>
      </c>
      <c r="L27" s="161">
        <v>0</v>
      </c>
      <c r="M27" s="161">
        <v>0</v>
      </c>
      <c r="N27" s="161">
        <v>0</v>
      </c>
      <c r="O27" s="161">
        <v>0</v>
      </c>
      <c r="P27" s="161">
        <v>0</v>
      </c>
      <c r="Q27" s="161">
        <v>0</v>
      </c>
      <c r="R27" s="161">
        <v>0</v>
      </c>
      <c r="S27" s="161">
        <v>0</v>
      </c>
      <c r="T27" s="161">
        <v>0</v>
      </c>
      <c r="U27" s="161">
        <v>0</v>
      </c>
      <c r="V27" s="161">
        <v>0</v>
      </c>
      <c r="W27" s="161">
        <v>0</v>
      </c>
      <c r="X27" s="161">
        <v>0</v>
      </c>
      <c r="Y27" s="161">
        <v>0</v>
      </c>
      <c r="Z27" s="161">
        <v>0</v>
      </c>
      <c r="AA27" s="161">
        <v>0</v>
      </c>
      <c r="AB27" s="161">
        <v>0</v>
      </c>
    </row>
    <row r="28" spans="2:28" x14ac:dyDescent="0.35">
      <c r="B28" s="20"/>
      <c r="C28" s="23"/>
      <c r="D28" s="21"/>
      <c r="E28" s="21"/>
      <c r="F28" s="21"/>
      <c r="G28" s="21"/>
      <c r="H28" s="21"/>
      <c r="I28" s="21"/>
      <c r="J28" s="21"/>
      <c r="K28" s="20"/>
      <c r="L28" s="20"/>
    </row>
    <row r="29" spans="2:28" x14ac:dyDescent="0.35">
      <c r="B29" s="20"/>
      <c r="C29" s="23"/>
      <c r="D29" s="21"/>
      <c r="E29" s="21"/>
      <c r="F29" s="21"/>
      <c r="G29" s="21"/>
      <c r="H29" s="21"/>
      <c r="I29" s="21"/>
      <c r="J29" s="21"/>
      <c r="K29" s="20"/>
      <c r="L29" s="20"/>
    </row>
    <row r="30" spans="2:28" x14ac:dyDescent="0.35">
      <c r="B30" s="24" t="s">
        <v>245</v>
      </c>
      <c r="C30" s="23"/>
      <c r="D30" s="21"/>
      <c r="E30" s="21"/>
      <c r="F30" s="21"/>
      <c r="G30" s="21"/>
      <c r="H30" s="21"/>
      <c r="I30" s="21"/>
      <c r="J30" s="21"/>
      <c r="K30" s="20"/>
      <c r="L30" s="20"/>
    </row>
    <row r="31" spans="2:28" x14ac:dyDescent="0.35">
      <c r="B31" s="39" t="s">
        <v>246</v>
      </c>
      <c r="C31" s="40" t="s">
        <v>230</v>
      </c>
      <c r="D31" s="40" t="s">
        <v>237</v>
      </c>
      <c r="E31" s="41">
        <v>2027</v>
      </c>
      <c r="F31" s="41">
        <v>2028</v>
      </c>
      <c r="G31" s="41">
        <v>2029</v>
      </c>
      <c r="H31" s="41">
        <v>2030</v>
      </c>
      <c r="I31" s="41">
        <v>2031</v>
      </c>
      <c r="J31" s="41">
        <v>2032</v>
      </c>
      <c r="K31" s="41">
        <v>2033</v>
      </c>
      <c r="L31" s="41">
        <v>2034</v>
      </c>
      <c r="M31" s="41">
        <v>2035</v>
      </c>
      <c r="N31" s="41">
        <v>2036</v>
      </c>
      <c r="O31" s="41">
        <v>2037</v>
      </c>
      <c r="P31" s="41">
        <v>2038</v>
      </c>
      <c r="Q31" s="41">
        <v>2039</v>
      </c>
      <c r="R31" s="41">
        <v>2040</v>
      </c>
      <c r="S31" s="41">
        <v>2041</v>
      </c>
      <c r="T31" s="41">
        <v>2042</v>
      </c>
      <c r="U31" s="41">
        <v>2043</v>
      </c>
      <c r="V31" s="41">
        <v>2044</v>
      </c>
      <c r="W31" s="41">
        <v>2045</v>
      </c>
      <c r="X31" s="41">
        <v>2046</v>
      </c>
      <c r="Y31" s="41">
        <v>2047</v>
      </c>
      <c r="Z31" s="41">
        <v>2048</v>
      </c>
      <c r="AA31" s="41">
        <v>2049</v>
      </c>
      <c r="AB31" s="41">
        <v>2050</v>
      </c>
    </row>
    <row r="32" spans="2:28" x14ac:dyDescent="0.35">
      <c r="B32" s="20" t="s">
        <v>34</v>
      </c>
      <c r="C32" s="37" t="s">
        <v>247</v>
      </c>
      <c r="D32" s="23" t="s">
        <v>120</v>
      </c>
      <c r="E32" s="25">
        <v>14.6337378640777</v>
      </c>
      <c r="F32" s="25">
        <v>14.241262135922296</v>
      </c>
      <c r="G32" s="25">
        <v>13.848786407766889</v>
      </c>
      <c r="H32" s="25">
        <v>13.456310679611649</v>
      </c>
      <c r="I32" s="25">
        <v>13.456310679611649</v>
      </c>
      <c r="J32" s="25">
        <v>13.456310679611649</v>
      </c>
      <c r="K32" s="25">
        <v>13.456310679611649</v>
      </c>
      <c r="L32" s="25">
        <v>13.456310679611649</v>
      </c>
      <c r="M32" s="25">
        <v>13.456310679611649</v>
      </c>
      <c r="N32" s="25">
        <v>13.456310679611649</v>
      </c>
      <c r="O32" s="25">
        <v>13.456310679611649</v>
      </c>
      <c r="P32" s="25">
        <v>13.456310679611649</v>
      </c>
      <c r="Q32" s="25">
        <v>13.456310679611649</v>
      </c>
      <c r="R32" s="25">
        <v>13.456310679611649</v>
      </c>
      <c r="S32" s="25">
        <v>13.456310679611649</v>
      </c>
      <c r="T32" s="25">
        <v>13.456310679611649</v>
      </c>
      <c r="U32" s="25">
        <v>13.456310679611649</v>
      </c>
      <c r="V32" s="25">
        <v>13.456310679611649</v>
      </c>
      <c r="W32" s="25">
        <v>13.456310679611649</v>
      </c>
      <c r="X32" s="25">
        <v>13.456310679611649</v>
      </c>
      <c r="Y32" s="25">
        <v>13.456310679611649</v>
      </c>
      <c r="Z32" s="25">
        <v>13.456310679611649</v>
      </c>
      <c r="AA32" s="25">
        <v>13.456310679611649</v>
      </c>
      <c r="AB32" s="25">
        <v>13.456310679611649</v>
      </c>
    </row>
    <row r="33" spans="2:28" x14ac:dyDescent="0.35">
      <c r="B33" s="43" t="s">
        <v>37</v>
      </c>
      <c r="C33" s="42" t="s">
        <v>247</v>
      </c>
      <c r="D33" s="35" t="s">
        <v>120</v>
      </c>
      <c r="E33" s="36">
        <v>14.565286282585156</v>
      </c>
      <c r="F33" s="36">
        <v>13.513486979796285</v>
      </c>
      <c r="G33" s="36">
        <v>12.461687677007411</v>
      </c>
      <c r="H33" s="36">
        <v>11.409888374218541</v>
      </c>
      <c r="I33" s="36">
        <v>11.404711335629472</v>
      </c>
      <c r="J33" s="36">
        <v>11.399534297040399</v>
      </c>
      <c r="K33" s="36">
        <v>11.394357258451331</v>
      </c>
      <c r="L33" s="36">
        <v>11.389180219862256</v>
      </c>
      <c r="M33" s="36">
        <v>11.384003181273181</v>
      </c>
      <c r="N33" s="36">
        <v>11.359334171568827</v>
      </c>
      <c r="O33" s="36">
        <v>11.334665161864466</v>
      </c>
      <c r="P33" s="36">
        <v>11.309996152160105</v>
      </c>
      <c r="Q33" s="36">
        <v>11.285327142455742</v>
      </c>
      <c r="R33" s="36">
        <v>11.26065813275139</v>
      </c>
      <c r="S33" s="36">
        <v>11.236676488740128</v>
      </c>
      <c r="T33" s="36">
        <v>11.212694844728878</v>
      </c>
      <c r="U33" s="36">
        <v>11.18871320071762</v>
      </c>
      <c r="V33" s="36">
        <v>11.164731556706363</v>
      </c>
      <c r="W33" s="36">
        <v>11.140749912695105</v>
      </c>
      <c r="X33" s="36">
        <v>11.119938841184348</v>
      </c>
      <c r="Y33" s="36">
        <v>11.099127769673593</v>
      </c>
      <c r="Z33" s="36">
        <v>11.078316698162839</v>
      </c>
      <c r="AA33" s="36">
        <v>11.057505626652086</v>
      </c>
      <c r="AB33" s="36">
        <v>11.036694555141331</v>
      </c>
    </row>
    <row r="34" spans="2:28" x14ac:dyDescent="0.35">
      <c r="B34" s="29" t="s">
        <v>39</v>
      </c>
      <c r="C34" s="37" t="s">
        <v>62</v>
      </c>
      <c r="D34" s="44" t="s">
        <v>120</v>
      </c>
      <c r="E34" s="38">
        <f>AVERAGE(E35:E36)</f>
        <v>32.599999999999994</v>
      </c>
      <c r="F34" s="38">
        <f>AVERAGE(F35:F36)</f>
        <v>33.900000000000006</v>
      </c>
      <c r="G34" s="38">
        <f t="shared" ref="G34:AB34" si="1">AVERAGE(G35:G36)</f>
        <v>35.199999999999996</v>
      </c>
      <c r="H34" s="38">
        <f t="shared" si="1"/>
        <v>36.5</v>
      </c>
      <c r="I34" s="38">
        <f t="shared" si="1"/>
        <v>37.9</v>
      </c>
      <c r="J34" s="38">
        <f t="shared" si="1"/>
        <v>39.299999999999997</v>
      </c>
      <c r="K34" s="38">
        <f t="shared" si="1"/>
        <v>40.700000000000003</v>
      </c>
      <c r="L34" s="38">
        <f t="shared" si="1"/>
        <v>42.1</v>
      </c>
      <c r="M34" s="38">
        <f t="shared" si="1"/>
        <v>43.5</v>
      </c>
      <c r="N34" s="38">
        <f t="shared" si="1"/>
        <v>44.9</v>
      </c>
      <c r="O34" s="38">
        <f t="shared" si="1"/>
        <v>46.3</v>
      </c>
      <c r="P34" s="38">
        <f t="shared" si="1"/>
        <v>47.7</v>
      </c>
      <c r="Q34" s="38">
        <f t="shared" si="1"/>
        <v>49.1</v>
      </c>
      <c r="R34" s="38">
        <f t="shared" si="1"/>
        <v>50.5</v>
      </c>
      <c r="S34" s="38">
        <f t="shared" si="1"/>
        <v>51.800000000000004</v>
      </c>
      <c r="T34" s="38">
        <f t="shared" si="1"/>
        <v>53.099999999999994</v>
      </c>
      <c r="U34" s="38">
        <f t="shared" si="1"/>
        <v>54.400000000000006</v>
      </c>
      <c r="V34" s="38">
        <f t="shared" si="1"/>
        <v>55.699999999999996</v>
      </c>
      <c r="W34" s="38">
        <f t="shared" si="1"/>
        <v>57</v>
      </c>
      <c r="X34" s="38">
        <f t="shared" si="1"/>
        <v>58.300000000000004</v>
      </c>
      <c r="Y34" s="38">
        <f t="shared" si="1"/>
        <v>59.599999999999994</v>
      </c>
      <c r="Z34" s="38">
        <f t="shared" si="1"/>
        <v>60.900000000000006</v>
      </c>
      <c r="AA34" s="38">
        <f t="shared" si="1"/>
        <v>62.199999999999996</v>
      </c>
      <c r="AB34" s="38">
        <f t="shared" si="1"/>
        <v>63.5</v>
      </c>
    </row>
    <row r="35" spans="2:28" x14ac:dyDescent="0.35">
      <c r="B35" s="43" t="s">
        <v>41</v>
      </c>
      <c r="C35" s="42" t="s">
        <v>62</v>
      </c>
      <c r="D35" s="35" t="s">
        <v>120</v>
      </c>
      <c r="E35" s="36">
        <v>23.4</v>
      </c>
      <c r="F35" s="36">
        <v>23.6</v>
      </c>
      <c r="G35" s="36">
        <v>23.8</v>
      </c>
      <c r="H35" s="36">
        <v>24</v>
      </c>
      <c r="I35" s="36">
        <v>24.3</v>
      </c>
      <c r="J35" s="36">
        <v>24.6</v>
      </c>
      <c r="K35" s="36">
        <v>24.9</v>
      </c>
      <c r="L35" s="36">
        <v>25.2</v>
      </c>
      <c r="M35" s="36">
        <v>25.5</v>
      </c>
      <c r="N35" s="36">
        <v>25.8</v>
      </c>
      <c r="O35" s="36">
        <v>26.1</v>
      </c>
      <c r="P35" s="36">
        <v>26.4</v>
      </c>
      <c r="Q35" s="36">
        <v>26.7</v>
      </c>
      <c r="R35" s="36">
        <v>27</v>
      </c>
      <c r="S35" s="36">
        <v>27.2</v>
      </c>
      <c r="T35" s="36">
        <v>27.4</v>
      </c>
      <c r="U35" s="36">
        <v>27.6</v>
      </c>
      <c r="V35" s="36">
        <v>27.8</v>
      </c>
      <c r="W35" s="36">
        <v>28</v>
      </c>
      <c r="X35" s="36">
        <v>28.2</v>
      </c>
      <c r="Y35" s="36">
        <v>28.4</v>
      </c>
      <c r="Z35" s="36">
        <v>28.6</v>
      </c>
      <c r="AA35" s="36">
        <v>28.8</v>
      </c>
      <c r="AB35" s="36">
        <v>29</v>
      </c>
    </row>
    <row r="36" spans="2:28" x14ac:dyDescent="0.35">
      <c r="B36" s="20" t="s">
        <v>42</v>
      </c>
      <c r="C36" s="37" t="s">
        <v>62</v>
      </c>
      <c r="D36" s="23" t="s">
        <v>120</v>
      </c>
      <c r="E36" s="25">
        <v>41.8</v>
      </c>
      <c r="F36" s="25">
        <v>44.2</v>
      </c>
      <c r="G36" s="25">
        <v>46.599999999999994</v>
      </c>
      <c r="H36" s="25">
        <v>49</v>
      </c>
      <c r="I36" s="25">
        <v>51.5</v>
      </c>
      <c r="J36" s="25">
        <v>54</v>
      </c>
      <c r="K36" s="25">
        <v>56.5</v>
      </c>
      <c r="L36" s="25">
        <v>59</v>
      </c>
      <c r="M36" s="25">
        <v>61.5</v>
      </c>
      <c r="N36" s="25">
        <v>64</v>
      </c>
      <c r="O36" s="25">
        <v>66.5</v>
      </c>
      <c r="P36" s="25">
        <v>69</v>
      </c>
      <c r="Q36" s="25">
        <v>71.5</v>
      </c>
      <c r="R36" s="25">
        <v>74</v>
      </c>
      <c r="S36" s="25">
        <v>76.400000000000006</v>
      </c>
      <c r="T36" s="25">
        <v>78.8</v>
      </c>
      <c r="U36" s="25">
        <v>81.2</v>
      </c>
      <c r="V36" s="25">
        <v>83.6</v>
      </c>
      <c r="W36" s="25">
        <v>86</v>
      </c>
      <c r="X36" s="25">
        <v>88.4</v>
      </c>
      <c r="Y36" s="25">
        <v>90.8</v>
      </c>
      <c r="Z36" s="25">
        <v>93.2</v>
      </c>
      <c r="AA36" s="25">
        <v>95.6</v>
      </c>
      <c r="AB36" s="25">
        <v>98</v>
      </c>
    </row>
    <row r="37" spans="2:28" x14ac:dyDescent="0.35">
      <c r="B37" s="43" t="s">
        <v>44</v>
      </c>
      <c r="C37" s="42" t="s">
        <v>248</v>
      </c>
      <c r="D37" s="35" t="s">
        <v>120</v>
      </c>
      <c r="E37" s="36">
        <v>37.116841929982201</v>
      </c>
      <c r="F37" s="36">
        <v>37.733100403066011</v>
      </c>
      <c r="G37" s="36">
        <v>38.342146911849333</v>
      </c>
      <c r="H37" s="36">
        <v>38.940653333333337</v>
      </c>
      <c r="I37" s="36">
        <v>39.678942813058462</v>
      </c>
      <c r="J37" s="36">
        <v>40.406937977316012</v>
      </c>
      <c r="K37" s="36">
        <v>41.12659098936421</v>
      </c>
      <c r="L37" s="36">
        <v>41.833969319082563</v>
      </c>
      <c r="M37" s="36">
        <v>42.531053333333332</v>
      </c>
      <c r="N37" s="36">
        <v>43.412034814050593</v>
      </c>
      <c r="O37" s="36">
        <v>44.282938006995622</v>
      </c>
      <c r="P37" s="36">
        <v>45.139003878327202</v>
      </c>
      <c r="Q37" s="36">
        <v>45.982628987106438</v>
      </c>
      <c r="R37" s="36">
        <v>46.813813333333343</v>
      </c>
      <c r="S37" s="36">
        <v>47.848447938395338</v>
      </c>
      <c r="T37" s="36">
        <v>48.865752394541651</v>
      </c>
      <c r="U37" s="36">
        <v>49.868573412604043</v>
      </c>
      <c r="V37" s="36">
        <v>50.856910992582527</v>
      </c>
      <c r="W37" s="36">
        <v>51.83341333333334</v>
      </c>
      <c r="X37" s="36">
        <v>53.064461879284543</v>
      </c>
      <c r="Y37" s="36">
        <v>54.27838999249412</v>
      </c>
      <c r="Z37" s="36">
        <v>55.475197672962103</v>
      </c>
      <c r="AA37" s="36">
        <v>56.658093423643798</v>
      </c>
      <c r="AB37" s="36">
        <v>57.820613333333341</v>
      </c>
    </row>
    <row r="38" spans="2:28" x14ac:dyDescent="0.35">
      <c r="B38" s="29" t="s">
        <v>51</v>
      </c>
      <c r="C38" s="37" t="s">
        <v>247</v>
      </c>
      <c r="D38" s="44" t="s">
        <v>120</v>
      </c>
      <c r="E38" s="38">
        <f>AVERAGE(E39:E40)</f>
        <v>52.051081405959309</v>
      </c>
      <c r="F38" s="38">
        <f t="shared" ref="F38:AB38" si="2">AVERAGE(F39:F40)</f>
        <v>49.155895453136402</v>
      </c>
      <c r="G38" s="38">
        <f t="shared" si="2"/>
        <v>46.21322714258794</v>
      </c>
      <c r="H38" s="38">
        <f t="shared" si="2"/>
        <v>43.223897239433271</v>
      </c>
      <c r="I38" s="38">
        <f t="shared" si="2"/>
        <v>42.444564729750361</v>
      </c>
      <c r="J38" s="38">
        <f t="shared" si="2"/>
        <v>41.592068900672885</v>
      </c>
      <c r="K38" s="38">
        <f t="shared" si="2"/>
        <v>40.666858608946939</v>
      </c>
      <c r="L38" s="38">
        <f t="shared" si="2"/>
        <v>39.66938271131859</v>
      </c>
      <c r="M38" s="38">
        <f t="shared" si="2"/>
        <v>38.600090064535287</v>
      </c>
      <c r="N38" s="38">
        <f t="shared" si="2"/>
        <v>37.733066164815156</v>
      </c>
      <c r="O38" s="38">
        <f t="shared" si="2"/>
        <v>36.816388607703651</v>
      </c>
      <c r="P38" s="38">
        <f t="shared" si="2"/>
        <v>35.85022952820573</v>
      </c>
      <c r="Q38" s="38">
        <f t="shared" si="2"/>
        <v>34.83476106132396</v>
      </c>
      <c r="R38" s="38">
        <f t="shared" si="2"/>
        <v>33.770155342062679</v>
      </c>
      <c r="S38" s="38">
        <f t="shared" si="2"/>
        <v>32.653034249495434</v>
      </c>
      <c r="T38" s="38">
        <f t="shared" si="2"/>
        <v>31.512437862628751</v>
      </c>
      <c r="U38" s="38">
        <f t="shared" si="2"/>
        <v>30.348272331188262</v>
      </c>
      <c r="V38" s="38">
        <f t="shared" si="2"/>
        <v>29.16044380489835</v>
      </c>
      <c r="W38" s="38">
        <f t="shared" si="2"/>
        <v>27.948858433484247</v>
      </c>
      <c r="X38" s="38">
        <f t="shared" si="2"/>
        <v>26.926182930715683</v>
      </c>
      <c r="Y38" s="38">
        <f t="shared" si="2"/>
        <v>25.892028440725745</v>
      </c>
      <c r="Z38" s="38">
        <f t="shared" si="2"/>
        <v>24.846329586709331</v>
      </c>
      <c r="AA38" s="38">
        <f t="shared" si="2"/>
        <v>23.789020991861381</v>
      </c>
      <c r="AB38" s="38">
        <f t="shared" si="2"/>
        <v>22.720037279376836</v>
      </c>
    </row>
    <row r="39" spans="2:28" x14ac:dyDescent="0.35">
      <c r="B39" s="43" t="s">
        <v>54</v>
      </c>
      <c r="C39" s="42" t="s">
        <v>247</v>
      </c>
      <c r="D39" s="35" t="s">
        <v>120</v>
      </c>
      <c r="E39" s="36">
        <v>43.528305240515309</v>
      </c>
      <c r="F39" s="36">
        <v>40.478340353858009</v>
      </c>
      <c r="G39" s="36">
        <v>37.380949103708431</v>
      </c>
      <c r="H39" s="36">
        <v>34.236956106325934</v>
      </c>
      <c r="I39" s="36">
        <v>33.687581910973869</v>
      </c>
      <c r="J39" s="36">
        <v>33.064701104118477</v>
      </c>
      <c r="K39" s="36">
        <v>32.368764648601925</v>
      </c>
      <c r="L39" s="36">
        <v>31.600223507266357</v>
      </c>
      <c r="M39" s="36">
        <v>30.759528642955274</v>
      </c>
      <c r="N39" s="36">
        <v>30.102768015678215</v>
      </c>
      <c r="O39" s="36">
        <v>29.396120749388739</v>
      </c>
      <c r="P39" s="36">
        <v>28.639759786772338</v>
      </c>
      <c r="Q39" s="36">
        <v>27.833858070512129</v>
      </c>
      <c r="R39" s="36">
        <v>26.978588543292936</v>
      </c>
      <c r="S39" s="36">
        <v>26.118165221247637</v>
      </c>
      <c r="T39" s="36">
        <v>25.23415645567307</v>
      </c>
      <c r="U39" s="36">
        <v>24.326467955936781</v>
      </c>
      <c r="V39" s="36">
        <v>23.395005431405064</v>
      </c>
      <c r="W39" s="36">
        <v>22.439674591445101</v>
      </c>
      <c r="X39" s="36">
        <v>21.663670792916818</v>
      </c>
      <c r="Y39" s="36">
        <v>20.876134146219336</v>
      </c>
      <c r="Z39" s="36">
        <v>20.076998967790789</v>
      </c>
      <c r="AA39" s="36">
        <v>19.266199574069397</v>
      </c>
      <c r="AB39" s="36">
        <v>18.443670281493354</v>
      </c>
    </row>
    <row r="40" spans="2:28" x14ac:dyDescent="0.35">
      <c r="B40" s="46" t="s">
        <v>56</v>
      </c>
      <c r="C40" s="45" t="s">
        <v>247</v>
      </c>
      <c r="D40" s="31" t="s">
        <v>120</v>
      </c>
      <c r="E40" s="26">
        <v>60.573857571403302</v>
      </c>
      <c r="F40" s="26">
        <v>57.833450552414796</v>
      </c>
      <c r="G40" s="26">
        <v>55.045505181467448</v>
      </c>
      <c r="H40" s="26">
        <v>52.210838372540607</v>
      </c>
      <c r="I40" s="26">
        <v>51.201547548526854</v>
      </c>
      <c r="J40" s="26">
        <v>50.1194366972273</v>
      </c>
      <c r="K40" s="26">
        <v>48.964952569291945</v>
      </c>
      <c r="L40" s="26">
        <v>47.738541915370831</v>
      </c>
      <c r="M40" s="26">
        <v>46.4406514861153</v>
      </c>
      <c r="N40" s="26">
        <v>45.363364313952104</v>
      </c>
      <c r="O40" s="26">
        <v>44.236656466018566</v>
      </c>
      <c r="P40" s="26">
        <v>43.060699269639116</v>
      </c>
      <c r="Q40" s="26">
        <v>41.835664052135797</v>
      </c>
      <c r="R40" s="26">
        <v>40.56172214083243</v>
      </c>
      <c r="S40" s="26">
        <v>39.187903277743224</v>
      </c>
      <c r="T40" s="26">
        <v>37.790719269584436</v>
      </c>
      <c r="U40" s="26">
        <v>36.370076706439747</v>
      </c>
      <c r="V40" s="26">
        <v>34.925882178391632</v>
      </c>
      <c r="W40" s="26">
        <v>33.458042275523397</v>
      </c>
      <c r="X40" s="26">
        <v>32.188695068514548</v>
      </c>
      <c r="Y40" s="26">
        <v>30.907922735232159</v>
      </c>
      <c r="Z40" s="26">
        <v>29.615660205627876</v>
      </c>
      <c r="AA40" s="26">
        <v>28.311842409653366</v>
      </c>
      <c r="AB40" s="26">
        <v>26.996404277260318</v>
      </c>
    </row>
  </sheetData>
  <sheetProtection formatCells="0" formatColumns="0" formatRows="0" insertColumns="0" insertRows="0" insertHyperlinks="0" deleteColumns="0" deleteRows="0" sort="0" autoFilter="0" pivotTables="0"/>
  <hyperlinks>
    <hyperlink ref="D8" r:id="rId1" display="Source: FuelEU Annex II" xr:uid="{57902899-B5C4-4073-A540-68E42683789B}"/>
    <hyperlink ref="C23" r:id="rId2" xr:uid="{F049BB78-4E0F-4B7E-AAD0-42EC64C004F6}"/>
    <hyperlink ref="C39" r:id="rId3" xr:uid="{2E63C9F4-804D-41E1-AB7D-69A864D4CF44}"/>
    <hyperlink ref="C40" r:id="rId4" xr:uid="{981663C4-2DD5-4772-BC51-C60BE1474CC6}"/>
    <hyperlink ref="C37" r:id="rId5" display="MMMCZCS, 2024" xr:uid="{80FD63FD-E923-42EE-A9E8-CC97BCDBED1F}"/>
    <hyperlink ref="C32" r:id="rId6" xr:uid="{BB3295B8-C784-4AFC-BFDB-1DE5AB0A8ED7}"/>
    <hyperlink ref="C33" r:id="rId7" xr:uid="{B6004DE9-BD4A-4F37-89DE-3BCACA0B7D27}"/>
    <hyperlink ref="C34" r:id="rId8" display="Source: LR &amp; UMAS, 2020" xr:uid="{B11F2E59-DCFE-4D66-A47C-0BEF88E8A74C}"/>
    <hyperlink ref="C35" r:id="rId9" display="Source: LR &amp; UMAS, 2020" xr:uid="{BF1C0B0E-E8AB-4B96-8B19-825146260D2B}"/>
    <hyperlink ref="C36" r:id="rId10" display="Source: LR &amp; UMAS, 2020" xr:uid="{5D895B08-E419-4467-90B7-5D9E4741E096}"/>
    <hyperlink ref="C24" r:id="rId11" xr:uid="{609694C5-8DA7-42EB-82D9-CE97B8F90151}"/>
    <hyperlink ref="E8" r:id="rId12" display="MEPC 81/16/Add.1, Annex 10, Appendix 2 (pg 49)" xr:uid="{769C5E93-5F0B-4F9A-935E-6841DDD9E355}"/>
    <hyperlink ref="F8" r:id="rId13" display="MEPC 81/16/Add.1, Annex 10, Appendix 2 (pg 49)" xr:uid="{20943D73-3883-4686-B0A6-878899923F2D}"/>
    <hyperlink ref="C38" r:id="rId14" xr:uid="{DA45FBB1-7114-437E-870D-220DC6150E62}"/>
    <hyperlink ref="I8" r:id="rId15" display="Source: FuelEU Annex II" xr:uid="{D947F09A-26DA-41E8-B5AC-27FD142E8420}"/>
    <hyperlink ref="H8" r:id="rId16" display="Source: FuelEU Annex II" xr:uid="{5580AE2F-D639-40B4-A415-FE617F94C69B}"/>
    <hyperlink ref="J8" r:id="rId17" display="Source: FuelEU Annex II" xr:uid="{D05FE83E-86F6-4FD5-9C4C-F38ED63E4C9F}"/>
    <hyperlink ref="G8" r:id="rId18" display="Source: FuelEU Annex II" xr:uid="{9257E27B-DA95-4AB2-ADFE-B2C769E818C6}"/>
    <hyperlink ref="K8" r:id="rId19" display="Source: FuelEU Annex II" xr:uid="{DCC16E09-4D39-45EA-80E8-0044F554492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3d45350-d6f3-43eb-bc3b-872e487a66ef">
      <Terms xmlns="http://schemas.microsoft.com/office/infopath/2007/PartnerControls"/>
    </lcf76f155ced4ddcb4097134ff3c332f>
    <TaxCatchAll xmlns="bae2e4cf-1cea-45c6-bccc-ce4c78deb207"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4165BA3798B174FB9075562706586E7" ma:contentTypeVersion="16" ma:contentTypeDescription="Opret et nyt dokument." ma:contentTypeScope="" ma:versionID="57b92e68dd3068f6fb60a9ec9bf19b51">
  <xsd:schema xmlns:xsd="http://www.w3.org/2001/XMLSchema" xmlns:xs="http://www.w3.org/2001/XMLSchema" xmlns:p="http://schemas.microsoft.com/office/2006/metadata/properties" xmlns:ns1="http://schemas.microsoft.com/sharepoint/v3" xmlns:ns2="83d45350-d6f3-43eb-bc3b-872e487a66ef" xmlns:ns3="bae2e4cf-1cea-45c6-bccc-ce4c78deb207" targetNamespace="http://schemas.microsoft.com/office/2006/metadata/properties" ma:root="true" ma:fieldsID="4b0149b5a104c9ec8fa61228766ab50c" ns1:_="" ns2:_="" ns3:_="">
    <xsd:import namespace="http://schemas.microsoft.com/sharepoint/v3"/>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Egenskaber for Unified Compliance Policy" ma:hidden="true" ma:internalName="_ip_UnifiedCompliancePolicyProperties">
      <xsd:simpleType>
        <xsd:restriction base="dms:Note"/>
      </xsd:simpleType>
    </xsd:element>
    <xsd:element name="_ip_UnifiedCompliancePolicyUIAction" ma:index="23"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0" nillable="true" ma:displayName="Taxonomy Catch All Column" ma:hidden="true" ma:list="{1b9f3c38-9c8f-458d-8521-77c7534e311f}"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B0CB6-2E58-463B-9CA2-34E00A2E2DE5}">
  <ds:schemaRefs>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bae2e4cf-1cea-45c6-bccc-ce4c78deb207"/>
    <ds:schemaRef ds:uri="http://schemas.microsoft.com/office/2006/metadata/properties"/>
    <ds:schemaRef ds:uri="83d45350-d6f3-43eb-bc3b-872e487a66ef"/>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E9AE294-90E7-45D1-A46A-3FAED366FE51}">
  <ds:schemaRefs>
    <ds:schemaRef ds:uri="http://schemas.microsoft.com/sharepoint/v3/contenttype/forms"/>
  </ds:schemaRefs>
</ds:datastoreItem>
</file>

<file path=customXml/itemProps3.xml><?xml version="1.0" encoding="utf-8"?>
<ds:datastoreItem xmlns:ds="http://schemas.openxmlformats.org/officeDocument/2006/customXml" ds:itemID="{845567A9-7DF8-4B5D-8D7E-B64530FC8156}"/>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CCC Summary</vt:lpstr>
      <vt:lpstr>Calculations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2015-06-05T18:19:34Z</dcterms:created>
  <dcterms:modified xsi:type="dcterms:W3CDTF">2025-03-11T14:16:54Z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