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9"/>
  <workbookPr/>
  <mc:AlternateContent xmlns:mc="http://schemas.openxmlformats.org/markup-compatibility/2006">
    <mc:Choice Requires="x15">
      <x15ac:absPath xmlns:x15ac="http://schemas.microsoft.com/office/spreadsheetml/2010/11/ac" url="https://zerocarbonshipping.sharepoint.com/sites/40032/Delte dokumenter/General/Phase II/2 Workstreams/MTM -- Newsletter/Modeling/MTM Impact Calculator/"/>
    </mc:Choice>
  </mc:AlternateContent>
  <xr:revisionPtr revIDLastSave="1058" documentId="8_{12E6BF5B-129D-47FE-8393-924D6695826F}" xr6:coauthVersionLast="47" xr6:coauthVersionMax="47" xr10:uidLastSave="{ABF1A174-3C59-4FFB-B7A8-A7F7BD3AB1E6}"/>
  <bookViews>
    <workbookView xWindow="-120" yWindow="-120" windowWidth="38640" windowHeight="21120" firstSheet="1" xr2:uid="{00000000-000D-0000-FFFF-FFFF00000000}"/>
  </bookViews>
  <sheets>
    <sheet name="CCC Summary" sheetId="2" r:id="rId1"/>
    <sheet name="Calculations" sheetId="10" r:id="rId2"/>
    <sheet name="Data" sheetId="11" r:id="rId3"/>
  </sheets>
  <externalReferences>
    <externalReference r:id="rId4"/>
  </externalReferences>
  <definedNames>
    <definedName name="__Ampler.Charts.0a6d1a90283444afb12196d473f6545a" localSheetId="1" hidden="1">#REF!</definedName>
    <definedName name="__Ampler.Charts.0a6d1a90283444afb12196d473f6545a" localSheetId="0" hidden="1">'CCC Summary'!#REF!</definedName>
    <definedName name="__Ampler.Charts.0a6d1a90283444afb12196d473f6545a" hidden="1">#REF!</definedName>
    <definedName name="__Ampler.Charts.34f1c03d97b345f9a4353d08cf28e475" localSheetId="1" hidden="1">[1]RouteAssessment!#REF!</definedName>
    <definedName name="__Ampler.Charts.34f1c03d97b345f9a4353d08cf28e475" localSheetId="0" hidden="1">[1]RouteAssessment!#REF!</definedName>
    <definedName name="__Ampler.Charts.34f1c03d97b345f9a4353d08cf28e475" hidden="1">#REF!</definedName>
    <definedName name="__Ampler.Charts.4949497296a941e7b1dd898b06a43188" localSheetId="1" hidden="1">#REF!</definedName>
    <definedName name="__Ampler.Charts.4949497296a941e7b1dd898b06a43188" localSheetId="0" hidden="1">'CCC Summary'!#REF!</definedName>
    <definedName name="__Ampler.Charts.4949497296a941e7b1dd898b06a43188" hidden="1">#REF!</definedName>
    <definedName name="__Ampler.Charts.4db02dabf638459889fa4705ee1aa0e7" localSheetId="1" hidden="1">#REF!</definedName>
    <definedName name="__Ampler.Charts.4db02dabf638459889fa4705ee1aa0e7" localSheetId="0" hidden="1">'CCC Summary'!#REF!</definedName>
    <definedName name="__Ampler.Charts.4db02dabf638459889fa4705ee1aa0e7" hidden="1">#REF!</definedName>
    <definedName name="__Ampler.Charts.4dbcb68e429b4e53b9337bb3cf75a6b2" localSheetId="1" hidden="1">#REF!</definedName>
    <definedName name="__Ampler.Charts.4dbcb68e429b4e53b9337bb3cf75a6b2" localSheetId="0" hidden="1">#REF!</definedName>
    <definedName name="__Ampler.Charts.4dbcb68e429b4e53b9337bb3cf75a6b2" hidden="1">#REF!</definedName>
    <definedName name="__Ampler.Charts.4eeae91c0b67498a8a436f0c0c38dece" localSheetId="1" hidden="1">[1]RouteAssessment!#REF!</definedName>
    <definedName name="__Ampler.Charts.4eeae91c0b67498a8a436f0c0c38dece" localSheetId="0" hidden="1">[1]RouteAssessment!#REF!</definedName>
    <definedName name="__Ampler.Charts.4eeae91c0b67498a8a436f0c0c38dece" hidden="1">#REF!</definedName>
    <definedName name="__Ampler.Charts.5728b5bb58e949dfa3a26fa526f1025b" localSheetId="1" hidden="1">[1]RouteAssessment!#REF!</definedName>
    <definedName name="__Ampler.Charts.5728b5bb58e949dfa3a26fa526f1025b" localSheetId="0" hidden="1">[1]RouteAssessment!#REF!</definedName>
    <definedName name="__Ampler.Charts.5728b5bb58e949dfa3a26fa526f1025b" hidden="1">#REF!</definedName>
    <definedName name="__Ampler.Charts.68bc14e0267446caab76e6e7a191a791" localSheetId="1" hidden="1">#REF!</definedName>
    <definedName name="__Ampler.Charts.68bc14e0267446caab76e6e7a191a791" localSheetId="0" hidden="1">'CCC Summary'!#REF!</definedName>
    <definedName name="__Ampler.Charts.68bc14e0267446caab76e6e7a191a791" hidden="1">#REF!</definedName>
    <definedName name="__Ampler.Charts.75a81f14f29d46e0b4e39cf665ff6370" localSheetId="1" hidden="1">[1]RouteAssessment!#REF!</definedName>
    <definedName name="__Ampler.Charts.75a81f14f29d46e0b4e39cf665ff6370" localSheetId="0" hidden="1">[1]RouteAssessment!#REF!</definedName>
    <definedName name="__Ampler.Charts.75a81f14f29d46e0b4e39cf665ff6370" hidden="1">#REF!</definedName>
    <definedName name="__Ampler.Charts.95df8f6dc046443690eba9763d4c43b9" localSheetId="1" hidden="1">#REF!</definedName>
    <definedName name="__Ampler.Charts.95df8f6dc046443690eba9763d4c43b9" localSheetId="0" hidden="1">'CCC Summary'!#REF!</definedName>
    <definedName name="__Ampler.Charts.95df8f6dc046443690eba9763d4c43b9" hidden="1">#REF!</definedName>
    <definedName name="__Ampler.Charts.ac3a886e354c4182957999ac64699388" localSheetId="1" hidden="1">#REF!</definedName>
    <definedName name="__Ampler.Charts.ac3a886e354c4182957999ac64699388" localSheetId="0" hidden="1">'CCC Summary'!#REF!</definedName>
    <definedName name="__Ampler.Charts.ac3a886e354c4182957999ac64699388" hidden="1">#REF!</definedName>
    <definedName name="__Ampler.Charts.c817a1644e39488c8e9e7ad399afe5e3" localSheetId="1" hidden="1">#REF!</definedName>
    <definedName name="__Ampler.Charts.c817a1644e39488c8e9e7ad399afe5e3" localSheetId="0" hidden="1">#REF!</definedName>
    <definedName name="__Ampler.Charts.c817a1644e39488c8e9e7ad399afe5e3" hidden="1">#REF!</definedName>
    <definedName name="__Ampler.Charts.ccf74908bffc4081a620e52ce9827f62" localSheetId="1" hidden="1">[1]RouteAssessment!#REF!</definedName>
    <definedName name="__Ampler.Charts.ccf74908bffc4081a620e52ce9827f62" localSheetId="0" hidden="1">[1]RouteAssessment!#REF!</definedName>
    <definedName name="__Ampler.Charts.ccf74908bffc4081a620e52ce9827f62" hidden="1">#REF!</definedName>
    <definedName name="__Ampler.Charts.e84d9270cbb94356a40d81dc703d7694" localSheetId="1" hidden="1">#REF!</definedName>
    <definedName name="__Ampler.Charts.e84d9270cbb94356a40d81dc703d7694" localSheetId="0" hidden="1">'CCC Summary'!#REF!</definedName>
    <definedName name="__Ampler.Charts.e84d9270cbb94356a40d81dc703d7694" hidden="1">#REF!</definedName>
    <definedName name="__Ampler.Charts.fa765f69abe84d24a3c4c841a6828b6f" localSheetId="1" hidden="1">#REF!</definedName>
    <definedName name="__Ampler.Charts.fa765f69abe84d24a3c4c841a6828b6f" localSheetId="0" hidden="1">'CCC Summary'!#REF!</definedName>
    <definedName name="__Ampler.Charts.fa765f69abe84d24a3c4c841a6828b6f" hidden="1">#REF!</definedName>
    <definedName name="Calculation_emission">Calculations!$C$4:$O$8</definedName>
    <definedName name="Calculation_emission_rows">Calculations!$C$4:$C$8</definedName>
    <definedName name="Calculation_emissions_columns">Calculations!$C$4:$O$4</definedName>
    <definedName name="Emission_factor_columns">Data!$B$4:$L$4</definedName>
    <definedName name="Emission_factors_rows">Data!$B$4:$B$8</definedName>
    <definedName name="Emissions_factors">Data!$B$4:$L$8</definedName>
    <definedName name="Fuel_Cost_Columns">Data!$B$28:$AB$28</definedName>
    <definedName name="Fuel_Cost_Rows">Data!$B$28:$B$37</definedName>
    <definedName name="Fuel_Cost_Variables">Data!$B$28:$AB$37</definedName>
    <definedName name="Inptu_Biomethane_Price">'CCC Summary'!$C$51</definedName>
    <definedName name="Input_Biodiesel_Price">'CCC Summary'!$C$41</definedName>
    <definedName name="Input_Biodiesel_Price_Source">'CCC Summary'!$C$40</definedName>
    <definedName name="Input_BiodieselSurplus_YN">'CCC Summary'!$C$30</definedName>
    <definedName name="Input_Biomethane_Price_Source">'CCC Summary'!$C$50</definedName>
    <definedName name="Input_biomethaneSurplus_YN">'CCC Summary'!$C$31</definedName>
    <definedName name="Input_Emissions_Scope">'CCC Summary'!$C$12</definedName>
    <definedName name="Input_Levy">'CCC Summary'!$C$21</definedName>
    <definedName name="Input_LNG_Cost">'CCC Summary'!$C$46</definedName>
    <definedName name="Input_LNG_engine">'CCC Summary'!$C$45</definedName>
    <definedName name="Input_LNG_price">'CCC Summary'!$C$46</definedName>
    <definedName name="Input_LNG_price_value">'CCC Summary'!$C$47</definedName>
    <definedName name="Input_LSFO">'CCC Summary'!$C$36</definedName>
    <definedName name="Input_LSFO_price">'CCC Summary'!$C$37</definedName>
    <definedName name="Input_Reference" comment="The user inputs the reference value for the GFS">'CCC Summary'!$C$13</definedName>
    <definedName name="Input_reward">'CCC Summary'!$C$27</definedName>
    <definedName name="Input_RU">'CCC Summary'!$C$24</definedName>
    <definedName name="Input_ZNZ_Cost_Source">'CCC Summary'!$C$57</definedName>
    <definedName name="Input_ZNZ_FixedPrice">'CCC Summary'!$C$58</definedName>
    <definedName name="Input_ZNZSurplus_YN">'CCC Summary'!$C$32</definedName>
    <definedName name="LSFO_LCV">Data!$F$7</definedName>
    <definedName name="Parameter_Reference">'CCC Summary'!$C$14</definedName>
    <definedName name="Parameter_years">Data!$B$13:$AB$13</definedName>
    <definedName name="Parameters">Data!$B$13:$B$24</definedName>
    <definedName name="Policy_Parameters">Data!$B$13:$AB$24</definedName>
    <definedName name="Select_Reference">'CCC Summary'!$C$13</definedName>
    <definedName name="Strategy_2_Rows">Calculations!$C$75:$C$93</definedName>
    <definedName name="Strategy1_rows">Calculations!$C$56:$C$71</definedName>
    <definedName name="Strategy1_table">Calculations!$C$56:$AE$71</definedName>
    <definedName name="Strategy1_years">Calculations!$C$56:$AE$56</definedName>
    <definedName name="Strategy2_rows">Calculations!$C$97:$C$116</definedName>
    <definedName name="Strategy2_table">Calculations!$C$75:$AE$93</definedName>
    <definedName name="Strategy2_years">Calculations!$C$75:$AE$75</definedName>
    <definedName name="Strategy3_Rows">Calculations!$C$97:$C$116</definedName>
    <definedName name="Strategy3_table">Calculations!$C$97:$AE$116</definedName>
    <definedName name="Strategy3_years">Calculations!$C$97:$AE$97</definedName>
    <definedName name="Strategy4_rows">Calculations!$C$120:$C$136</definedName>
    <definedName name="Strategy4_table">Calculations!$C$120:$AE$136</definedName>
    <definedName name="Strategy4_years">Calculations!$C$120:$AE$120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10" l="1"/>
  <c r="H78" i="10"/>
  <c r="H77" i="10"/>
  <c r="H76" i="10"/>
  <c r="D20" i="2"/>
  <c r="H61" i="10"/>
  <c r="H51" i="10"/>
  <c r="C14" i="2"/>
  <c r="D58" i="2"/>
  <c r="B41" i="2"/>
  <c r="B51" i="2" l="1"/>
  <c r="B19" i="2"/>
  <c r="P53" i="2"/>
  <c r="M53" i="2"/>
  <c r="J53" i="2"/>
  <c r="G53" i="2"/>
  <c r="D14" i="2"/>
  <c r="J51" i="10"/>
  <c r="K51" i="10"/>
  <c r="L51" i="10"/>
  <c r="M51" i="10"/>
  <c r="N51" i="10"/>
  <c r="O51" i="10"/>
  <c r="P51" i="10"/>
  <c r="Q51" i="10"/>
  <c r="R51" i="10"/>
  <c r="S51" i="10"/>
  <c r="T51" i="10"/>
  <c r="U51" i="10"/>
  <c r="V51" i="10"/>
  <c r="W51" i="10"/>
  <c r="X51" i="10"/>
  <c r="Y51" i="10"/>
  <c r="Z51" i="10"/>
  <c r="AA51" i="10"/>
  <c r="AB51" i="10"/>
  <c r="AC51" i="10"/>
  <c r="AD51" i="10"/>
  <c r="AE51" i="10"/>
  <c r="N14" i="11"/>
  <c r="O14" i="11"/>
  <c r="P14" i="11" s="1"/>
  <c r="Q14" i="11"/>
  <c r="S14" i="11"/>
  <c r="T14" i="11" s="1"/>
  <c r="U14" i="11" s="1"/>
  <c r="V14" i="11" s="1"/>
  <c r="X14" i="11"/>
  <c r="Y14" i="11" s="1"/>
  <c r="Z14" i="11" s="1"/>
  <c r="AA14" i="11" s="1"/>
  <c r="N15" i="11"/>
  <c r="O15" i="11" s="1"/>
  <c r="P15" i="11" s="1"/>
  <c r="Q15" i="11" s="1"/>
  <c r="S15" i="11"/>
  <c r="T15" i="11"/>
  <c r="U15" i="11"/>
  <c r="V15" i="11" s="1"/>
  <c r="X15" i="11"/>
  <c r="Y15" i="11" s="1"/>
  <c r="Z15" i="11" s="1"/>
  <c r="AA15" i="11" s="1"/>
  <c r="H31" i="11"/>
  <c r="I31" i="11"/>
  <c r="J31" i="11"/>
  <c r="K31" i="11"/>
  <c r="L31" i="11"/>
  <c r="M31" i="11"/>
  <c r="N31" i="11"/>
  <c r="O31" i="11"/>
  <c r="P31" i="11"/>
  <c r="Q31" i="11"/>
  <c r="R31" i="11"/>
  <c r="S31" i="11"/>
  <c r="T31" i="11"/>
  <c r="U31" i="11"/>
  <c r="V31" i="11"/>
  <c r="W31" i="11"/>
  <c r="X31" i="11"/>
  <c r="Y31" i="11"/>
  <c r="Z31" i="11"/>
  <c r="AA31" i="11"/>
  <c r="AB31" i="11"/>
  <c r="H35" i="11"/>
  <c r="I35" i="11"/>
  <c r="J35" i="11"/>
  <c r="K35" i="11"/>
  <c r="L35" i="11"/>
  <c r="M35" i="11"/>
  <c r="N35" i="11"/>
  <c r="O35" i="11"/>
  <c r="P35" i="11"/>
  <c r="Q35" i="11"/>
  <c r="R35" i="11"/>
  <c r="S35" i="11"/>
  <c r="T35" i="11"/>
  <c r="U35" i="11"/>
  <c r="V35" i="11"/>
  <c r="W35" i="11"/>
  <c r="X35" i="11"/>
  <c r="Y35" i="11"/>
  <c r="Z35" i="11"/>
  <c r="AA35" i="11"/>
  <c r="AB35" i="11"/>
  <c r="H17" i="10"/>
  <c r="I17" i="10"/>
  <c r="J17" i="10"/>
  <c r="K17" i="10"/>
  <c r="L17" i="10"/>
  <c r="M17" i="10"/>
  <c r="N17" i="10"/>
  <c r="O17" i="10"/>
  <c r="P17" i="10"/>
  <c r="Q17" i="10"/>
  <c r="R17" i="10"/>
  <c r="S17" i="10"/>
  <c r="T17" i="10"/>
  <c r="U17" i="10"/>
  <c r="V17" i="10"/>
  <c r="W17" i="10"/>
  <c r="X17" i="10"/>
  <c r="Y17" i="10"/>
  <c r="Z17" i="10"/>
  <c r="AA17" i="10"/>
  <c r="AB17" i="10"/>
  <c r="AC17" i="10"/>
  <c r="AD17" i="10"/>
  <c r="AE17" i="10"/>
  <c r="I51" i="10"/>
  <c r="D50" i="10"/>
  <c r="D49" i="10"/>
  <c r="D48" i="10"/>
  <c r="D44" i="10"/>
  <c r="F44" i="10"/>
  <c r="D39" i="10"/>
  <c r="X39" i="10" s="1"/>
  <c r="X76" i="10" s="1"/>
  <c r="F39" i="10"/>
  <c r="D35" i="10"/>
  <c r="F35" i="10"/>
  <c r="D30" i="10"/>
  <c r="X30" i="10" s="1"/>
  <c r="X89" i="10" s="1"/>
  <c r="D26" i="10"/>
  <c r="F30" i="10"/>
  <c r="D24" i="10"/>
  <c r="X24" i="10" s="1"/>
  <c r="X68" i="10" s="1"/>
  <c r="B37" i="2"/>
  <c r="D17" i="10"/>
  <c r="D8" i="10"/>
  <c r="D7" i="10"/>
  <c r="D5" i="10"/>
  <c r="D6" i="10"/>
  <c r="H6" i="10" s="1"/>
  <c r="D16" i="10"/>
  <c r="D15" i="10"/>
  <c r="J15" i="10" s="1"/>
  <c r="D14" i="10"/>
  <c r="F35" i="11"/>
  <c r="G35" i="11"/>
  <c r="E35" i="11"/>
  <c r="G31" i="11"/>
  <c r="F31" i="11"/>
  <c r="E31" i="11"/>
  <c r="AE80" i="10" l="1"/>
  <c r="AE61" i="10"/>
  <c r="S80" i="10"/>
  <c r="S61" i="10"/>
  <c r="AD122" i="10"/>
  <c r="AD80" i="10"/>
  <c r="AD61" i="10"/>
  <c r="R122" i="10"/>
  <c r="R80" i="10"/>
  <c r="R61" i="10"/>
  <c r="Z80" i="10"/>
  <c r="Z61" i="10"/>
  <c r="N61" i="10"/>
  <c r="N80" i="10"/>
  <c r="AC61" i="10"/>
  <c r="AC80" i="10"/>
  <c r="AB61" i="10"/>
  <c r="AB80" i="10"/>
  <c r="AA80" i="10"/>
  <c r="AA61" i="10"/>
  <c r="Y80" i="10"/>
  <c r="Y61" i="10"/>
  <c r="M80" i="10"/>
  <c r="M61" i="10"/>
  <c r="Q61" i="10"/>
  <c r="Q80" i="10"/>
  <c r="P61" i="10"/>
  <c r="P80" i="10"/>
  <c r="X80" i="10"/>
  <c r="X61" i="10"/>
  <c r="L61" i="10"/>
  <c r="L80" i="10"/>
  <c r="O80" i="10"/>
  <c r="O61" i="10"/>
  <c r="W61" i="10"/>
  <c r="W80" i="10"/>
  <c r="K61" i="10"/>
  <c r="K80" i="10"/>
  <c r="V80" i="10"/>
  <c r="V61" i="10"/>
  <c r="J80" i="10"/>
  <c r="J61" i="10"/>
  <c r="U61" i="10"/>
  <c r="U80" i="10"/>
  <c r="I61" i="10"/>
  <c r="I80" i="10"/>
  <c r="T102" i="10"/>
  <c r="T61" i="10"/>
  <c r="T80" i="10"/>
  <c r="S48" i="10"/>
  <c r="AE48" i="10"/>
  <c r="T48" i="10"/>
  <c r="H48" i="10"/>
  <c r="I48" i="10"/>
  <c r="U48" i="10"/>
  <c r="K48" i="10"/>
  <c r="W48" i="10"/>
  <c r="J48" i="10"/>
  <c r="V48" i="10"/>
  <c r="L48" i="10"/>
  <c r="X48" i="10"/>
  <c r="M48" i="10"/>
  <c r="Y48" i="10"/>
  <c r="N48" i="10"/>
  <c r="Z48" i="10"/>
  <c r="O48" i="10"/>
  <c r="AA48" i="10"/>
  <c r="P48" i="10"/>
  <c r="AB48" i="10"/>
  <c r="Q48" i="10"/>
  <c r="AC48" i="10"/>
  <c r="R48" i="10"/>
  <c r="AD48" i="10"/>
  <c r="H102" i="10"/>
  <c r="I35" i="10"/>
  <c r="H44" i="10"/>
  <c r="D36" i="10"/>
  <c r="H30" i="10"/>
  <c r="H89" i="10" s="1"/>
  <c r="H122" i="10"/>
  <c r="K122" i="10"/>
  <c r="L122" i="10"/>
  <c r="I122" i="10"/>
  <c r="M122" i="10"/>
  <c r="T122" i="10"/>
  <c r="U122" i="10"/>
  <c r="V122" i="10"/>
  <c r="J122" i="10"/>
  <c r="W122" i="10"/>
  <c r="X122" i="10"/>
  <c r="Y122" i="10"/>
  <c r="N122" i="10"/>
  <c r="Z122" i="10"/>
  <c r="O122" i="10"/>
  <c r="AA122" i="10"/>
  <c r="P122" i="10"/>
  <c r="AB122" i="10"/>
  <c r="Q122" i="10"/>
  <c r="AC122" i="10"/>
  <c r="S122" i="10"/>
  <c r="AE122" i="10"/>
  <c r="U102" i="10"/>
  <c r="N102" i="10"/>
  <c r="O102" i="10"/>
  <c r="Z39" i="10"/>
  <c r="X102" i="10"/>
  <c r="Y102" i="10"/>
  <c r="Z102" i="10"/>
  <c r="AA102" i="10"/>
  <c r="I102" i="10"/>
  <c r="L102" i="10"/>
  <c r="M102" i="10"/>
  <c r="AD102" i="10"/>
  <c r="R102" i="10"/>
  <c r="P102" i="10"/>
  <c r="AB102" i="10"/>
  <c r="V24" i="10"/>
  <c r="V68" i="10" s="1"/>
  <c r="Q102" i="10"/>
  <c r="AC102" i="10"/>
  <c r="U24" i="10"/>
  <c r="U68" i="10" s="1"/>
  <c r="R24" i="10"/>
  <c r="R68" i="10" s="1"/>
  <c r="S102" i="10"/>
  <c r="AE102" i="10"/>
  <c r="X112" i="10"/>
  <c r="H80" i="10"/>
  <c r="J102" i="10"/>
  <c r="V102" i="10"/>
  <c r="K102" i="10"/>
  <c r="W102" i="10"/>
  <c r="W24" i="10"/>
  <c r="W68" i="10" s="1"/>
  <c r="Y39" i="10"/>
  <c r="Q24" i="10"/>
  <c r="Q68" i="10" s="1"/>
  <c r="P24" i="10"/>
  <c r="P68" i="10" s="1"/>
  <c r="W30" i="10"/>
  <c r="W89" i="10" s="1"/>
  <c r="L24" i="10"/>
  <c r="L68" i="10" s="1"/>
  <c r="O24" i="10"/>
  <c r="O68" i="10" s="1"/>
  <c r="V30" i="10"/>
  <c r="V89" i="10" s="1"/>
  <c r="J24" i="10"/>
  <c r="J68" i="10" s="1"/>
  <c r="R30" i="10"/>
  <c r="R89" i="10" s="1"/>
  <c r="AD24" i="10"/>
  <c r="AD68" i="10" s="1"/>
  <c r="S15" i="10"/>
  <c r="AE15" i="10"/>
  <c r="H15" i="10"/>
  <c r="T15" i="10"/>
  <c r="K15" i="10"/>
  <c r="Y15" i="10"/>
  <c r="V15" i="10"/>
  <c r="W15" i="10"/>
  <c r="Q15" i="10"/>
  <c r="R15" i="10"/>
  <c r="U15" i="10"/>
  <c r="X15" i="10"/>
  <c r="Z15" i="10"/>
  <c r="I15" i="10"/>
  <c r="AA15" i="10"/>
  <c r="P15" i="10"/>
  <c r="AB15" i="10"/>
  <c r="AC15" i="10"/>
  <c r="AD15" i="10"/>
  <c r="M15" i="10"/>
  <c r="N15" i="10"/>
  <c r="O15" i="10"/>
  <c r="S16" i="10"/>
  <c r="AE16" i="10"/>
  <c r="H16" i="10"/>
  <c r="T16" i="10"/>
  <c r="O16" i="10"/>
  <c r="AC16" i="10"/>
  <c r="M16" i="10"/>
  <c r="AB16" i="10"/>
  <c r="N16" i="10"/>
  <c r="AD16" i="10"/>
  <c r="L16" i="10"/>
  <c r="P16" i="10"/>
  <c r="Q16" i="10"/>
  <c r="R16" i="10"/>
  <c r="U16" i="10"/>
  <c r="V16" i="10"/>
  <c r="K16" i="10"/>
  <c r="I16" i="10"/>
  <c r="J16" i="10"/>
  <c r="X16" i="10"/>
  <c r="Y16" i="10"/>
  <c r="Z16" i="10"/>
  <c r="AA16" i="10"/>
  <c r="S35" i="10"/>
  <c r="AE35" i="10"/>
  <c r="H35" i="10"/>
  <c r="T35" i="10"/>
  <c r="K35" i="10"/>
  <c r="Y35" i="10"/>
  <c r="P35" i="10"/>
  <c r="P57" i="10" s="1"/>
  <c r="Q35" i="10"/>
  <c r="Q57" i="10" s="1"/>
  <c r="M35" i="10"/>
  <c r="AD35" i="10"/>
  <c r="AD57" i="10" s="1"/>
  <c r="N35" i="10"/>
  <c r="N57" i="10" s="1"/>
  <c r="O35" i="10"/>
  <c r="O57" i="10" s="1"/>
  <c r="R35" i="10"/>
  <c r="R57" i="10" s="1"/>
  <c r="V35" i="10"/>
  <c r="V57" i="10" s="1"/>
  <c r="U35" i="10"/>
  <c r="U57" i="10" s="1"/>
  <c r="X35" i="10"/>
  <c r="X57" i="10" s="1"/>
  <c r="Z35" i="10"/>
  <c r="AB35" i="10"/>
  <c r="AC35" i="10"/>
  <c r="L35" i="10"/>
  <c r="L57" i="10" s="1"/>
  <c r="W35" i="10"/>
  <c r="W57" i="10" s="1"/>
  <c r="AA35" i="10"/>
  <c r="AA57" i="10" s="1"/>
  <c r="S44" i="10"/>
  <c r="S131" i="10" s="1"/>
  <c r="AE44" i="10"/>
  <c r="AE131" i="10" s="1"/>
  <c r="T44" i="10"/>
  <c r="T131" i="10" s="1"/>
  <c r="K44" i="10"/>
  <c r="K131" i="10" s="1"/>
  <c r="Y44" i="10"/>
  <c r="Y131" i="10" s="1"/>
  <c r="U44" i="10"/>
  <c r="U131" i="10" s="1"/>
  <c r="V44" i="10"/>
  <c r="V131" i="10" s="1"/>
  <c r="X44" i="10"/>
  <c r="J44" i="10"/>
  <c r="J131" i="10" s="1"/>
  <c r="AB44" i="10"/>
  <c r="AB131" i="10" s="1"/>
  <c r="L44" i="10"/>
  <c r="L131" i="10" s="1"/>
  <c r="AC44" i="10"/>
  <c r="AC131" i="10" s="1"/>
  <c r="M44" i="10"/>
  <c r="M131" i="10" s="1"/>
  <c r="AD44" i="10"/>
  <c r="AD131" i="10" s="1"/>
  <c r="O44" i="10"/>
  <c r="O131" i="10" s="1"/>
  <c r="P44" i="10"/>
  <c r="P131" i="10" s="1"/>
  <c r="R44" i="10"/>
  <c r="R131" i="10" s="1"/>
  <c r="AA44" i="10"/>
  <c r="AA131" i="10" s="1"/>
  <c r="W44" i="10"/>
  <c r="Z44" i="10"/>
  <c r="Z131" i="10" s="1"/>
  <c r="I44" i="10"/>
  <c r="I131" i="10" s="1"/>
  <c r="N44" i="10"/>
  <c r="N131" i="10" s="1"/>
  <c r="Q44" i="10"/>
  <c r="Q131" i="10" s="1"/>
  <c r="W16" i="10"/>
  <c r="J35" i="10"/>
  <c r="J57" i="10" s="1"/>
  <c r="L15" i="10"/>
  <c r="H7" i="10"/>
  <c r="S39" i="10"/>
  <c r="AE39" i="10"/>
  <c r="H39" i="10"/>
  <c r="T39" i="10"/>
  <c r="O39" i="10"/>
  <c r="AC39" i="10"/>
  <c r="N39" i="10"/>
  <c r="N76" i="10" s="1"/>
  <c r="AD39" i="10"/>
  <c r="P39" i="10"/>
  <c r="P76" i="10" s="1"/>
  <c r="K39" i="10"/>
  <c r="K76" i="10" s="1"/>
  <c r="AB39" i="10"/>
  <c r="AB76" i="10" s="1"/>
  <c r="L39" i="10"/>
  <c r="M39" i="10"/>
  <c r="Q39" i="10"/>
  <c r="U39" i="10"/>
  <c r="R39" i="10"/>
  <c r="R76" i="10" s="1"/>
  <c r="I39" i="10"/>
  <c r="I76" i="10" s="1"/>
  <c r="W39" i="10"/>
  <c r="W76" i="10" s="1"/>
  <c r="J39" i="10"/>
  <c r="J76" i="10" s="1"/>
  <c r="V39" i="10"/>
  <c r="AA39" i="10"/>
  <c r="AA76" i="10" s="1"/>
  <c r="AB30" i="10"/>
  <c r="AB89" i="10" s="1"/>
  <c r="S30" i="10"/>
  <c r="S89" i="10" s="1"/>
  <c r="AE30" i="10"/>
  <c r="AE89" i="10" s="1"/>
  <c r="T30" i="10"/>
  <c r="T89" i="10" s="1"/>
  <c r="K30" i="10"/>
  <c r="K89" i="10" s="1"/>
  <c r="Y30" i="10"/>
  <c r="Y89" i="10" s="1"/>
  <c r="J30" i="10"/>
  <c r="J89" i="10" s="1"/>
  <c r="Z30" i="10"/>
  <c r="Z89" i="10" s="1"/>
  <c r="L30" i="10"/>
  <c r="L89" i="10" s="1"/>
  <c r="AA30" i="10"/>
  <c r="AA89" i="10" s="1"/>
  <c r="I30" i="10"/>
  <c r="I89" i="10" s="1"/>
  <c r="AC30" i="10"/>
  <c r="AC89" i="10" s="1"/>
  <c r="M30" i="10"/>
  <c r="M89" i="10" s="1"/>
  <c r="AD30" i="10"/>
  <c r="AD89" i="10" s="1"/>
  <c r="N30" i="10"/>
  <c r="N89" i="10" s="1"/>
  <c r="O30" i="10"/>
  <c r="O89" i="10" s="1"/>
  <c r="Q30" i="10"/>
  <c r="Q89" i="10" s="1"/>
  <c r="P30" i="10"/>
  <c r="P89" i="10" s="1"/>
  <c r="U30" i="10"/>
  <c r="U89" i="10" s="1"/>
  <c r="S24" i="10"/>
  <c r="S68" i="10" s="1"/>
  <c r="AE24" i="10"/>
  <c r="AE68" i="10" s="1"/>
  <c r="H24" i="10"/>
  <c r="H112" i="10" s="1"/>
  <c r="T24" i="10"/>
  <c r="T68" i="10" s="1"/>
  <c r="K24" i="10"/>
  <c r="K68" i="10" s="1"/>
  <c r="Y24" i="10"/>
  <c r="Y68" i="10" s="1"/>
  <c r="M24" i="10"/>
  <c r="M68" i="10" s="1"/>
  <c r="AB24" i="10"/>
  <c r="AB68" i="10" s="1"/>
  <c r="N24" i="10"/>
  <c r="N68" i="10" s="1"/>
  <c r="AC24" i="10"/>
  <c r="AC68" i="10" s="1"/>
  <c r="AA24" i="10"/>
  <c r="AA68" i="10" s="1"/>
  <c r="I24" i="10"/>
  <c r="I68" i="10" s="1"/>
  <c r="Z24" i="10"/>
  <c r="Z68" i="10" s="1"/>
  <c r="F24" i="10"/>
  <c r="H131" i="10" l="1"/>
  <c r="H98" i="10"/>
  <c r="H100" i="10" s="1"/>
  <c r="H49" i="10"/>
  <c r="H101" i="10"/>
  <c r="H103" i="10" s="1"/>
  <c r="M76" i="10"/>
  <c r="S76" i="10"/>
  <c r="AE57" i="10"/>
  <c r="L76" i="10"/>
  <c r="S57" i="10"/>
  <c r="I57" i="10"/>
  <c r="V76" i="10"/>
  <c r="AD76" i="10"/>
  <c r="M57" i="10"/>
  <c r="AC76" i="10"/>
  <c r="AC57" i="10"/>
  <c r="O76" i="10"/>
  <c r="AB57" i="10"/>
  <c r="Y57" i="10"/>
  <c r="Y76" i="10"/>
  <c r="T76" i="10"/>
  <c r="Z57" i="10"/>
  <c r="K57" i="10"/>
  <c r="U76" i="10"/>
  <c r="T57" i="10"/>
  <c r="Z76" i="10"/>
  <c r="Q76" i="10"/>
  <c r="AE76" i="10"/>
  <c r="Q54" i="2"/>
  <c r="K54" i="2"/>
  <c r="X98" i="10"/>
  <c r="X131" i="10"/>
  <c r="W98" i="10"/>
  <c r="W131" i="10"/>
  <c r="O98" i="10"/>
  <c r="V98" i="10"/>
  <c r="S98" i="10"/>
  <c r="J98" i="10"/>
  <c r="I98" i="10"/>
  <c r="Z98" i="10"/>
  <c r="T98" i="10"/>
  <c r="AD98" i="10"/>
  <c r="M98" i="10"/>
  <c r="AE98" i="10"/>
  <c r="L98" i="10"/>
  <c r="N112" i="10"/>
  <c r="Q98" i="10"/>
  <c r="R112" i="10"/>
  <c r="Y112" i="10"/>
  <c r="N98" i="10"/>
  <c r="AB98" i="10"/>
  <c r="P112" i="10"/>
  <c r="M112" i="10"/>
  <c r="Q112" i="10"/>
  <c r="T112" i="10"/>
  <c r="AD112" i="10"/>
  <c r="U112" i="10"/>
  <c r="AA98" i="10"/>
  <c r="Z112" i="10"/>
  <c r="Y98" i="10"/>
  <c r="AA112" i="10"/>
  <c r="K112" i="10"/>
  <c r="W112" i="10"/>
  <c r="AE112" i="10"/>
  <c r="U98" i="10"/>
  <c r="S112" i="10"/>
  <c r="R98" i="10"/>
  <c r="I112" i="10"/>
  <c r="P98" i="10"/>
  <c r="K98" i="10"/>
  <c r="J112" i="10"/>
  <c r="V112" i="10"/>
  <c r="O112" i="10"/>
  <c r="AC112" i="10"/>
  <c r="AB112" i="10"/>
  <c r="AC98" i="10"/>
  <c r="L112" i="10"/>
  <c r="H68" i="10"/>
  <c r="H57" i="10"/>
  <c r="J7" i="10"/>
  <c r="K7" i="10"/>
  <c r="N7" i="10"/>
  <c r="N8" i="10" s="1"/>
  <c r="I7" i="10"/>
  <c r="L7" i="10"/>
  <c r="M7" i="10"/>
  <c r="M8" i="10" s="1"/>
  <c r="S36" i="10" l="1"/>
  <c r="S37" i="10" s="1"/>
  <c r="L36" i="10"/>
  <c r="L37" i="10" s="1"/>
  <c r="L8" i="10"/>
  <c r="H26" i="10"/>
  <c r="AB36" i="10"/>
  <c r="AB37" i="10" s="1"/>
  <c r="W36" i="10"/>
  <c r="K36" i="10"/>
  <c r="K37" i="10" s="1"/>
  <c r="AA36" i="10"/>
  <c r="AA37" i="10" s="1"/>
  <c r="U36" i="10"/>
  <c r="U37" i="10" s="1"/>
  <c r="H54" i="2"/>
  <c r="N54" i="2"/>
  <c r="T36" i="10"/>
  <c r="T37" i="10" s="1"/>
  <c r="Z36" i="10"/>
  <c r="Z37" i="10" s="1"/>
  <c r="Y36" i="10"/>
  <c r="Y37" i="10" s="1"/>
  <c r="V36" i="10"/>
  <c r="V37" i="10" s="1"/>
  <c r="I36" i="10"/>
  <c r="I37" i="10" s="1"/>
  <c r="M36" i="10"/>
  <c r="M37" i="10" s="1"/>
  <c r="H36" i="10"/>
  <c r="H37" i="10" s="1"/>
  <c r="J36" i="10"/>
  <c r="J37" i="10" s="1"/>
  <c r="Q36" i="10"/>
  <c r="Q37" i="10" s="1"/>
  <c r="X36" i="10"/>
  <c r="X37" i="10" s="1"/>
  <c r="R36" i="10"/>
  <c r="R37" i="10" s="1"/>
  <c r="N36" i="10"/>
  <c r="N37" i="10" s="1"/>
  <c r="AC36" i="10"/>
  <c r="AC37" i="10" s="1"/>
  <c r="P36" i="10"/>
  <c r="P37" i="10" s="1"/>
  <c r="AD36" i="10"/>
  <c r="AD37" i="10" s="1"/>
  <c r="AE36" i="10"/>
  <c r="AE37" i="10" s="1"/>
  <c r="X26" i="10"/>
  <c r="AB26" i="10"/>
  <c r="Y26" i="10"/>
  <c r="AD26" i="10"/>
  <c r="P26" i="10"/>
  <c r="U26" i="10"/>
  <c r="J26" i="10"/>
  <c r="K26" i="10"/>
  <c r="Z26" i="10"/>
  <c r="S26" i="10"/>
  <c r="W26" i="10"/>
  <c r="M26" i="10"/>
  <c r="AC26" i="10"/>
  <c r="K8" i="10"/>
  <c r="I26" i="10"/>
  <c r="N26" i="10"/>
  <c r="AE26" i="10"/>
  <c r="R26" i="10"/>
  <c r="Q26" i="10"/>
  <c r="V26" i="10"/>
  <c r="O26" i="10"/>
  <c r="T26" i="10"/>
  <c r="L26" i="10"/>
  <c r="AA26" i="10"/>
  <c r="J32" i="10"/>
  <c r="J33" i="10" s="1"/>
  <c r="V32" i="10"/>
  <c r="V33" i="10" s="1"/>
  <c r="W32" i="10"/>
  <c r="W33" i="10" s="1"/>
  <c r="AB32" i="10"/>
  <c r="AB33" i="10" s="1"/>
  <c r="AC32" i="10"/>
  <c r="AC33" i="10" s="1"/>
  <c r="U32" i="10"/>
  <c r="U33" i="10" s="1"/>
  <c r="K32" i="10"/>
  <c r="K33" i="10" s="1"/>
  <c r="AA32" i="10"/>
  <c r="AA33" i="10" s="1"/>
  <c r="L32" i="10"/>
  <c r="L33" i="10" s="1"/>
  <c r="X32" i="10"/>
  <c r="X33" i="10" s="1"/>
  <c r="Y32" i="10"/>
  <c r="Y33" i="10" s="1"/>
  <c r="Z32" i="10"/>
  <c r="Z33" i="10" s="1"/>
  <c r="AD32" i="10"/>
  <c r="AD33" i="10" s="1"/>
  <c r="S32" i="10"/>
  <c r="S33" i="10" s="1"/>
  <c r="M32" i="10"/>
  <c r="M33" i="10" s="1"/>
  <c r="O32" i="10"/>
  <c r="O33" i="10" s="1"/>
  <c r="N32" i="10"/>
  <c r="N33" i="10" s="1"/>
  <c r="Q32" i="10"/>
  <c r="Q33" i="10" s="1"/>
  <c r="R32" i="10"/>
  <c r="R33" i="10" s="1"/>
  <c r="AE32" i="10"/>
  <c r="AE33" i="10" s="1"/>
  <c r="P32" i="10"/>
  <c r="P33" i="10" s="1"/>
  <c r="H32" i="10"/>
  <c r="T32" i="10"/>
  <c r="T33" i="10" s="1"/>
  <c r="I32" i="10"/>
  <c r="I33" i="10" s="1"/>
  <c r="J8" i="10"/>
  <c r="O36" i="10"/>
  <c r="O37" i="10" s="1"/>
  <c r="J21" i="10"/>
  <c r="V21" i="10"/>
  <c r="W21" i="10"/>
  <c r="R21" i="10"/>
  <c r="K21" i="10"/>
  <c r="P21" i="10"/>
  <c r="AE21" i="10"/>
  <c r="L21" i="10"/>
  <c r="X21" i="10"/>
  <c r="Y21" i="10"/>
  <c r="M21" i="10"/>
  <c r="Q21" i="10"/>
  <c r="AD21" i="10"/>
  <c r="N21" i="10"/>
  <c r="Z21" i="10"/>
  <c r="AB21" i="10"/>
  <c r="O21" i="10"/>
  <c r="AA21" i="10"/>
  <c r="AC21" i="10"/>
  <c r="S21" i="10"/>
  <c r="H21" i="10"/>
  <c r="T21" i="10"/>
  <c r="I21" i="10"/>
  <c r="U21" i="10"/>
  <c r="I8" i="10"/>
  <c r="W37" i="10"/>
  <c r="J27" i="10" l="1"/>
  <c r="J77" i="10" s="1"/>
  <c r="J78" i="10" s="1"/>
  <c r="J79" i="10" s="1"/>
  <c r="J81" i="10" s="1"/>
  <c r="J82" i="10" s="1"/>
  <c r="R22" i="10"/>
  <c r="R58" i="10" s="1"/>
  <c r="R59" i="10" s="1"/>
  <c r="R60" i="10" s="1"/>
  <c r="U27" i="10"/>
  <c r="U77" i="10" s="1"/>
  <c r="U78" i="10" s="1"/>
  <c r="U79" i="10" s="1"/>
  <c r="U81" i="10" s="1"/>
  <c r="U82" i="10" s="1"/>
  <c r="W22" i="10"/>
  <c r="W58" i="10" s="1"/>
  <c r="W59" i="10" s="1"/>
  <c r="W60" i="10" s="1"/>
  <c r="N27" i="10"/>
  <c r="N77" i="10" s="1"/>
  <c r="N78" i="10" s="1"/>
  <c r="N79" i="10" s="1"/>
  <c r="N81" i="10" s="1"/>
  <c r="N82" i="10" s="1"/>
  <c r="J22" i="10"/>
  <c r="J58" i="10" s="1"/>
  <c r="J59" i="10" s="1"/>
  <c r="J60" i="10" s="1"/>
  <c r="Y27" i="10"/>
  <c r="Y77" i="10" s="1"/>
  <c r="Y78" i="10" s="1"/>
  <c r="Y79" i="10" s="1"/>
  <c r="Y81" i="10" s="1"/>
  <c r="Y82" i="10" s="1"/>
  <c r="Q22" i="10"/>
  <c r="Q58" i="10" s="1"/>
  <c r="Q59" i="10" s="1"/>
  <c r="Q60" i="10" s="1"/>
  <c r="AB27" i="10"/>
  <c r="AB77" i="10" s="1"/>
  <c r="AB78" i="10" s="1"/>
  <c r="AB79" i="10" s="1"/>
  <c r="AB81" i="10" s="1"/>
  <c r="AB82" i="10" s="1"/>
  <c r="AC22" i="10"/>
  <c r="AC58" i="10" s="1"/>
  <c r="AC59" i="10" s="1"/>
  <c r="AC60" i="10" s="1"/>
  <c r="AE22" i="10"/>
  <c r="AE58" i="10" s="1"/>
  <c r="AE59" i="10" s="1"/>
  <c r="AE60" i="10" s="1"/>
  <c r="O27" i="10"/>
  <c r="O77" i="10" s="1"/>
  <c r="O78" i="10" s="1"/>
  <c r="O79" i="10" s="1"/>
  <c r="O81" i="10" s="1"/>
  <c r="O82" i="10" s="1"/>
  <c r="AA22" i="10"/>
  <c r="AA58" i="10" s="1"/>
  <c r="AA59" i="10" s="1"/>
  <c r="AA60" i="10" s="1"/>
  <c r="P22" i="10"/>
  <c r="P58" i="10" s="1"/>
  <c r="P59" i="10" s="1"/>
  <c r="P60" i="10" s="1"/>
  <c r="V27" i="10"/>
  <c r="V77" i="10" s="1"/>
  <c r="V78" i="10" s="1"/>
  <c r="V79" i="10" s="1"/>
  <c r="V81" i="10" s="1"/>
  <c r="V82" i="10" s="1"/>
  <c r="K27" i="10"/>
  <c r="K77" i="10" s="1"/>
  <c r="K78" i="10" s="1"/>
  <c r="K79" i="10" s="1"/>
  <c r="K81" i="10" s="1"/>
  <c r="K82" i="10" s="1"/>
  <c r="R27" i="10"/>
  <c r="R77" i="10" s="1"/>
  <c r="R78" i="10" s="1"/>
  <c r="R79" i="10" s="1"/>
  <c r="R81" i="10" s="1"/>
  <c r="R82" i="10" s="1"/>
  <c r="AE27" i="10"/>
  <c r="AE77" i="10" s="1"/>
  <c r="AE78" i="10" s="1"/>
  <c r="AE79" i="10" s="1"/>
  <c r="AE81" i="10" s="1"/>
  <c r="AE82" i="10" s="1"/>
  <c r="V22" i="10"/>
  <c r="V58" i="10" s="1"/>
  <c r="V59" i="10" s="1"/>
  <c r="V60" i="10" s="1"/>
  <c r="AD22" i="10"/>
  <c r="AD58" i="10" s="1"/>
  <c r="AD59" i="10" s="1"/>
  <c r="AD60" i="10" s="1"/>
  <c r="AC27" i="10"/>
  <c r="AC77" i="10" s="1"/>
  <c r="AC78" i="10" s="1"/>
  <c r="AC79" i="10" s="1"/>
  <c r="AC81" i="10" s="1"/>
  <c r="AC82" i="10" s="1"/>
  <c r="X27" i="10"/>
  <c r="X77" i="10" s="1"/>
  <c r="X78" i="10" s="1"/>
  <c r="X79" i="10" s="1"/>
  <c r="X81" i="10" s="1"/>
  <c r="X82" i="10" s="1"/>
  <c r="H27" i="10"/>
  <c r="Y22" i="10"/>
  <c r="Y58" i="10" s="1"/>
  <c r="Y59" i="10" s="1"/>
  <c r="Y60" i="10" s="1"/>
  <c r="M27" i="10"/>
  <c r="M77" i="10" s="1"/>
  <c r="M78" i="10" s="1"/>
  <c r="M79" i="10" s="1"/>
  <c r="M81" i="10" s="1"/>
  <c r="M82" i="10" s="1"/>
  <c r="H22" i="10"/>
  <c r="X22" i="10"/>
  <c r="X58" i="10" s="1"/>
  <c r="X59" i="10" s="1"/>
  <c r="X60" i="10" s="1"/>
  <c r="L27" i="10"/>
  <c r="L77" i="10" s="1"/>
  <c r="L78" i="10" s="1"/>
  <c r="L79" i="10" s="1"/>
  <c r="L81" i="10" s="1"/>
  <c r="L82" i="10" s="1"/>
  <c r="W27" i="10"/>
  <c r="W77" i="10" s="1"/>
  <c r="W78" i="10" s="1"/>
  <c r="W79" i="10" s="1"/>
  <c r="W81" i="10" s="1"/>
  <c r="W82" i="10" s="1"/>
  <c r="Z27" i="10"/>
  <c r="Z77" i="10" s="1"/>
  <c r="Z78" i="10" s="1"/>
  <c r="Z79" i="10" s="1"/>
  <c r="Z81" i="10" s="1"/>
  <c r="Z82" i="10" s="1"/>
  <c r="O22" i="10"/>
  <c r="O58" i="10" s="1"/>
  <c r="O59" i="10" s="1"/>
  <c r="O60" i="10" s="1"/>
  <c r="K22" i="10"/>
  <c r="K58" i="10" s="1"/>
  <c r="K59" i="10" s="1"/>
  <c r="K60" i="10" s="1"/>
  <c r="Q27" i="10"/>
  <c r="Q77" i="10" s="1"/>
  <c r="Q78" i="10" s="1"/>
  <c r="Q79" i="10" s="1"/>
  <c r="Q81" i="10" s="1"/>
  <c r="Q82" i="10" s="1"/>
  <c r="AB22" i="10"/>
  <c r="AB58" i="10" s="1"/>
  <c r="AB59" i="10" s="1"/>
  <c r="AB60" i="10" s="1"/>
  <c r="Z22" i="10"/>
  <c r="Z58" i="10" s="1"/>
  <c r="Z59" i="10" s="1"/>
  <c r="Z60" i="10" s="1"/>
  <c r="P27" i="10"/>
  <c r="P77" i="10" s="1"/>
  <c r="P78" i="10" s="1"/>
  <c r="P79" i="10" s="1"/>
  <c r="P81" i="10" s="1"/>
  <c r="P82" i="10" s="1"/>
  <c r="N22" i="10"/>
  <c r="N58" i="10" s="1"/>
  <c r="N59" i="10" s="1"/>
  <c r="N60" i="10" s="1"/>
  <c r="AD27" i="10"/>
  <c r="AD77" i="10" s="1"/>
  <c r="AD78" i="10" s="1"/>
  <c r="AD79" i="10" s="1"/>
  <c r="AD81" i="10" s="1"/>
  <c r="AD82" i="10" s="1"/>
  <c r="I27" i="10"/>
  <c r="I77" i="10" s="1"/>
  <c r="I78" i="10" s="1"/>
  <c r="I79" i="10" s="1"/>
  <c r="I81" i="10" s="1"/>
  <c r="I82" i="10" s="1"/>
  <c r="U22" i="10"/>
  <c r="U58" i="10" s="1"/>
  <c r="U59" i="10" s="1"/>
  <c r="U60" i="10" s="1"/>
  <c r="M22" i="10"/>
  <c r="M58" i="10" s="1"/>
  <c r="M59" i="10" s="1"/>
  <c r="M60" i="10" s="1"/>
  <c r="T22" i="10"/>
  <c r="T58" i="10" s="1"/>
  <c r="T59" i="10" s="1"/>
  <c r="T60" i="10" s="1"/>
  <c r="AA27" i="10"/>
  <c r="AA77" i="10" s="1"/>
  <c r="AA78" i="10" s="1"/>
  <c r="AA79" i="10" s="1"/>
  <c r="AA81" i="10" s="1"/>
  <c r="AA82" i="10" s="1"/>
  <c r="S22" i="10"/>
  <c r="S58" i="10" s="1"/>
  <c r="S59" i="10" s="1"/>
  <c r="S60" i="10" s="1"/>
  <c r="L22" i="10"/>
  <c r="L58" i="10" s="1"/>
  <c r="L59" i="10" s="1"/>
  <c r="L60" i="10" s="1"/>
  <c r="T27" i="10"/>
  <c r="T77" i="10" s="1"/>
  <c r="T78" i="10" s="1"/>
  <c r="T79" i="10" s="1"/>
  <c r="T81" i="10" s="1"/>
  <c r="T82" i="10" s="1"/>
  <c r="S27" i="10"/>
  <c r="S77" i="10" s="1"/>
  <c r="S78" i="10" s="1"/>
  <c r="S79" i="10" s="1"/>
  <c r="S81" i="10" s="1"/>
  <c r="S82" i="10" s="1"/>
  <c r="H33" i="10"/>
  <c r="I22" i="10"/>
  <c r="I58" i="10" s="1"/>
  <c r="I59" i="10" s="1"/>
  <c r="I60" i="10" s="1"/>
  <c r="C56" i="2"/>
  <c r="B47" i="2"/>
  <c r="B58" i="2"/>
  <c r="AB62" i="10" l="1"/>
  <c r="AB63" i="10" s="1"/>
  <c r="AB64" i="10" s="1"/>
  <c r="AC62" i="10"/>
  <c r="AC63" i="10" s="1"/>
  <c r="AC64" i="10" s="1"/>
  <c r="Q62" i="10"/>
  <c r="Q63" i="10" s="1"/>
  <c r="Q64" i="10" s="1"/>
  <c r="Y62" i="10"/>
  <c r="Y63" i="10" s="1"/>
  <c r="Y64" i="10" s="1"/>
  <c r="L62" i="10"/>
  <c r="L63" i="10" s="1"/>
  <c r="L64" i="10" s="1"/>
  <c r="T62" i="10"/>
  <c r="T63" i="10" s="1"/>
  <c r="T64" i="10" s="1"/>
  <c r="U62" i="10"/>
  <c r="U63" i="10" s="1"/>
  <c r="U64" i="10" s="1"/>
  <c r="W62" i="10"/>
  <c r="W63" i="10" s="1"/>
  <c r="W64" i="10" s="1"/>
  <c r="AD62" i="10"/>
  <c r="AD63" i="10" s="1"/>
  <c r="AD64" i="10" s="1"/>
  <c r="X62" i="10"/>
  <c r="X63" i="10" s="1"/>
  <c r="X64" i="10" s="1"/>
  <c r="O62" i="10"/>
  <c r="O63" i="10" s="1"/>
  <c r="O64" i="10" s="1"/>
  <c r="V62" i="10"/>
  <c r="V63" i="10" s="1"/>
  <c r="V64" i="10" s="1"/>
  <c r="P62" i="10"/>
  <c r="P63" i="10" s="1"/>
  <c r="P64" i="10" s="1"/>
  <c r="R62" i="10"/>
  <c r="R63" i="10" s="1"/>
  <c r="R64" i="10" s="1"/>
  <c r="Z62" i="10"/>
  <c r="Z63" i="10" s="1"/>
  <c r="Z64" i="10" s="1"/>
  <c r="AE62" i="10"/>
  <c r="AE63" i="10" s="1"/>
  <c r="AE64" i="10" s="1"/>
  <c r="S62" i="10"/>
  <c r="S63" i="10" s="1"/>
  <c r="S64" i="10" s="1"/>
  <c r="K62" i="10"/>
  <c r="K63" i="10" s="1"/>
  <c r="K64" i="10" s="1"/>
  <c r="J62" i="10"/>
  <c r="J63" i="10" s="1"/>
  <c r="J64" i="10" s="1"/>
  <c r="M62" i="10"/>
  <c r="M63" i="10" s="1"/>
  <c r="M64" i="10" s="1"/>
  <c r="I62" i="10"/>
  <c r="I63" i="10" s="1"/>
  <c r="I64" i="10" s="1"/>
  <c r="N62" i="10"/>
  <c r="N63" i="10" s="1"/>
  <c r="N64" i="10" s="1"/>
  <c r="AA62" i="10"/>
  <c r="AA63" i="10" s="1"/>
  <c r="AA64" i="10" s="1"/>
  <c r="AB86" i="10"/>
  <c r="AB87" i="10" s="1"/>
  <c r="AB88" i="10" s="1"/>
  <c r="AB92" i="10" s="1"/>
  <c r="AC86" i="10"/>
  <c r="AC87" i="10" s="1"/>
  <c r="AC88" i="10" s="1"/>
  <c r="AC92" i="10" s="1"/>
  <c r="AE86" i="10"/>
  <c r="AE87" i="10" s="1"/>
  <c r="AE88" i="10" s="1"/>
  <c r="AE92" i="10" s="1"/>
  <c r="AD86" i="10"/>
  <c r="AD87" i="10" s="1"/>
  <c r="AD88" i="10" s="1"/>
  <c r="AD92" i="10" s="1"/>
  <c r="AE50" i="10"/>
  <c r="AE49" i="10"/>
  <c r="X49" i="10"/>
  <c r="T49" i="10"/>
  <c r="Z50" i="10"/>
  <c r="W50" i="10"/>
  <c r="P50" i="10"/>
  <c r="O50" i="10"/>
  <c r="M49" i="10"/>
  <c r="Z49" i="10"/>
  <c r="R50" i="10"/>
  <c r="N50" i="10"/>
  <c r="U49" i="10"/>
  <c r="AB49" i="10"/>
  <c r="L50" i="10"/>
  <c r="X50" i="10"/>
  <c r="K50" i="10"/>
  <c r="AC49" i="10"/>
  <c r="J49" i="10"/>
  <c r="AD49" i="10"/>
  <c r="AA50" i="10"/>
  <c r="J50" i="10"/>
  <c r="AD50" i="10"/>
  <c r="V50" i="10"/>
  <c r="O49" i="10"/>
  <c r="M50" i="10"/>
  <c r="Y49" i="10"/>
  <c r="K49" i="10"/>
  <c r="H81" i="10"/>
  <c r="H82" i="10" s="1"/>
  <c r="H50" i="10"/>
  <c r="H52" i="10" s="1"/>
  <c r="H125" i="10" s="1"/>
  <c r="W49" i="10"/>
  <c r="N49" i="10"/>
  <c r="AC50" i="10"/>
  <c r="I49" i="10"/>
  <c r="P49" i="10"/>
  <c r="V49" i="10"/>
  <c r="S50" i="10"/>
  <c r="AA49" i="10"/>
  <c r="S49" i="10"/>
  <c r="T50" i="10"/>
  <c r="Y50" i="10"/>
  <c r="L49" i="10"/>
  <c r="Q49" i="10"/>
  <c r="AB50" i="10"/>
  <c r="R49" i="10"/>
  <c r="I50" i="10"/>
  <c r="Q50" i="10"/>
  <c r="U50" i="10"/>
  <c r="H58" i="10"/>
  <c r="H59" i="10" s="1"/>
  <c r="H60" i="10" s="1"/>
  <c r="H62" i="10" s="1"/>
  <c r="H5" i="10"/>
  <c r="I14" i="10" s="1"/>
  <c r="I86" i="10" s="1"/>
  <c r="I87" i="10" s="1"/>
  <c r="I88" i="10" s="1"/>
  <c r="I92" i="10" s="1"/>
  <c r="L52" i="10" l="1"/>
  <c r="W52" i="10"/>
  <c r="I65" i="10"/>
  <c r="I66" i="10" s="1"/>
  <c r="I67" i="10" s="1"/>
  <c r="I70" i="10" s="1"/>
  <c r="Q52" i="10"/>
  <c r="H63" i="10"/>
  <c r="H64" i="10" s="1"/>
  <c r="T52" i="10"/>
  <c r="Y52" i="10"/>
  <c r="I52" i="10"/>
  <c r="R52" i="10"/>
  <c r="AB52" i="10"/>
  <c r="O52" i="10"/>
  <c r="AE52" i="10"/>
  <c r="J52" i="10"/>
  <c r="P52" i="10"/>
  <c r="S52" i="10"/>
  <c r="N52" i="10"/>
  <c r="U52" i="10"/>
  <c r="V52" i="10"/>
  <c r="K52" i="10"/>
  <c r="Z52" i="10"/>
  <c r="AA52" i="10"/>
  <c r="M52" i="10"/>
  <c r="X52" i="10"/>
  <c r="AC52" i="10"/>
  <c r="AD52" i="10"/>
  <c r="Q14" i="10"/>
  <c r="Y14" i="10"/>
  <c r="X14" i="10"/>
  <c r="O14" i="10"/>
  <c r="R14" i="10"/>
  <c r="W14" i="10"/>
  <c r="P14" i="10"/>
  <c r="AD14" i="10"/>
  <c r="L14" i="10"/>
  <c r="K14" i="10"/>
  <c r="T14" i="10"/>
  <c r="H14" i="10"/>
  <c r="AE14" i="10"/>
  <c r="AC14" i="10"/>
  <c r="N14" i="10"/>
  <c r="AA14" i="10"/>
  <c r="J14" i="10"/>
  <c r="M14" i="10"/>
  <c r="AB14" i="10"/>
  <c r="U14" i="10"/>
  <c r="Z14" i="10"/>
  <c r="S14" i="10"/>
  <c r="V14" i="10"/>
  <c r="I23" i="10"/>
  <c r="I34" i="10"/>
  <c r="I28" i="10"/>
  <c r="I29" i="10"/>
  <c r="I84" i="10" s="1"/>
  <c r="I38" i="10"/>
  <c r="I85" i="10" l="1"/>
  <c r="I91" i="10" s="1"/>
  <c r="I83" i="10"/>
  <c r="I90" i="10" s="1"/>
  <c r="H65" i="10"/>
  <c r="H66" i="10" s="1"/>
  <c r="H67" i="10" s="1"/>
  <c r="H70" i="10" s="1"/>
  <c r="AD34" i="10"/>
  <c r="AD65" i="10"/>
  <c r="AD66" i="10" s="1"/>
  <c r="AD67" i="10" s="1"/>
  <c r="AD70" i="10" s="1"/>
  <c r="Z23" i="10"/>
  <c r="Z69" i="10" s="1"/>
  <c r="Z86" i="10"/>
  <c r="Z87" i="10" s="1"/>
  <c r="Z88" i="10" s="1"/>
  <c r="Z92" i="10" s="1"/>
  <c r="Z65" i="10"/>
  <c r="Z66" i="10" s="1"/>
  <c r="Z67" i="10" s="1"/>
  <c r="Z70" i="10" s="1"/>
  <c r="J28" i="10"/>
  <c r="J65" i="10"/>
  <c r="J66" i="10" s="1"/>
  <c r="J67" i="10" s="1"/>
  <c r="J70" i="10" s="1"/>
  <c r="J86" i="10"/>
  <c r="J87" i="10" s="1"/>
  <c r="J88" i="10" s="1"/>
  <c r="J92" i="10" s="1"/>
  <c r="R34" i="10"/>
  <c r="R86" i="10"/>
  <c r="R87" i="10" s="1"/>
  <c r="R88" i="10" s="1"/>
  <c r="R92" i="10" s="1"/>
  <c r="R65" i="10"/>
  <c r="R66" i="10" s="1"/>
  <c r="R67" i="10" s="1"/>
  <c r="R70" i="10" s="1"/>
  <c r="O38" i="10"/>
  <c r="O86" i="10"/>
  <c r="O87" i="10" s="1"/>
  <c r="O88" i="10" s="1"/>
  <c r="O92" i="10" s="1"/>
  <c r="O65" i="10"/>
  <c r="O66" i="10" s="1"/>
  <c r="O67" i="10" s="1"/>
  <c r="O70" i="10" s="1"/>
  <c r="T85" i="10"/>
  <c r="T91" i="10" s="1"/>
  <c r="U65" i="10"/>
  <c r="U66" i="10" s="1"/>
  <c r="U67" i="10" s="1"/>
  <c r="U70" i="10" s="1"/>
  <c r="U86" i="10"/>
  <c r="U87" i="10" s="1"/>
  <c r="U88" i="10" s="1"/>
  <c r="U92" i="10" s="1"/>
  <c r="M86" i="10"/>
  <c r="M87" i="10" s="1"/>
  <c r="M88" i="10" s="1"/>
  <c r="M92" i="10" s="1"/>
  <c r="M65" i="10"/>
  <c r="M66" i="10" s="1"/>
  <c r="M67" i="10" s="1"/>
  <c r="M70" i="10" s="1"/>
  <c r="N65" i="10"/>
  <c r="N66" i="10" s="1"/>
  <c r="N67" i="10" s="1"/>
  <c r="N70" i="10" s="1"/>
  <c r="N86" i="10"/>
  <c r="N87" i="10" s="1"/>
  <c r="N88" i="10" s="1"/>
  <c r="N92" i="10" s="1"/>
  <c r="Y29" i="10"/>
  <c r="Y84" i="10" s="1"/>
  <c r="Y85" i="10" s="1"/>
  <c r="Y91" i="10" s="1"/>
  <c r="Y86" i="10"/>
  <c r="Y87" i="10" s="1"/>
  <c r="Y88" i="10" s="1"/>
  <c r="Y92" i="10" s="1"/>
  <c r="Y65" i="10"/>
  <c r="Y66" i="10" s="1"/>
  <c r="Y67" i="10" s="1"/>
  <c r="Y70" i="10" s="1"/>
  <c r="N85" i="10"/>
  <c r="N91" i="10" s="1"/>
  <c r="P28" i="10"/>
  <c r="P86" i="10"/>
  <c r="P87" i="10" s="1"/>
  <c r="P88" i="10" s="1"/>
  <c r="P92" i="10" s="1"/>
  <c r="P65" i="10"/>
  <c r="P66" i="10" s="1"/>
  <c r="P67" i="10" s="1"/>
  <c r="P70" i="10" s="1"/>
  <c r="Q86" i="10"/>
  <c r="Q87" i="10" s="1"/>
  <c r="Q88" i="10" s="1"/>
  <c r="Q92" i="10" s="1"/>
  <c r="Q65" i="10"/>
  <c r="Q66" i="10" s="1"/>
  <c r="Q67" i="10" s="1"/>
  <c r="Q70" i="10" s="1"/>
  <c r="X23" i="10"/>
  <c r="X69" i="10" s="1"/>
  <c r="X65" i="10"/>
  <c r="X66" i="10" s="1"/>
  <c r="X67" i="10" s="1"/>
  <c r="X70" i="10" s="1"/>
  <c r="X86" i="10"/>
  <c r="X87" i="10" s="1"/>
  <c r="X88" i="10" s="1"/>
  <c r="X92" i="10" s="1"/>
  <c r="AC28" i="10"/>
  <c r="AC31" i="10" s="1"/>
  <c r="AC65" i="10"/>
  <c r="AC66" i="10" s="1"/>
  <c r="AC67" i="10" s="1"/>
  <c r="AC70" i="10" s="1"/>
  <c r="AE28" i="10"/>
  <c r="AE31" i="10" s="1"/>
  <c r="AE65" i="10"/>
  <c r="AE66" i="10" s="1"/>
  <c r="AE67" i="10" s="1"/>
  <c r="AE70" i="10" s="1"/>
  <c r="I25" i="10"/>
  <c r="I69" i="10"/>
  <c r="I71" i="10" s="1"/>
  <c r="AB34" i="10"/>
  <c r="AB65" i="10"/>
  <c r="AB66" i="10" s="1"/>
  <c r="AB67" i="10" s="1"/>
  <c r="AB70" i="10" s="1"/>
  <c r="AA34" i="10"/>
  <c r="AA86" i="10"/>
  <c r="AA87" i="10" s="1"/>
  <c r="AA88" i="10" s="1"/>
  <c r="AA92" i="10" s="1"/>
  <c r="AA65" i="10"/>
  <c r="AA66" i="10" s="1"/>
  <c r="AA67" i="10" s="1"/>
  <c r="AA70" i="10" s="1"/>
  <c r="T23" i="10"/>
  <c r="T69" i="10" s="1"/>
  <c r="T86" i="10"/>
  <c r="T87" i="10" s="1"/>
  <c r="T88" i="10" s="1"/>
  <c r="T92" i="10" s="1"/>
  <c r="T65" i="10"/>
  <c r="T66" i="10" s="1"/>
  <c r="T67" i="10" s="1"/>
  <c r="T70" i="10" s="1"/>
  <c r="L86" i="10"/>
  <c r="L87" i="10" s="1"/>
  <c r="L88" i="10" s="1"/>
  <c r="L92" i="10" s="1"/>
  <c r="L65" i="10"/>
  <c r="L66" i="10" s="1"/>
  <c r="L67" i="10" s="1"/>
  <c r="L70" i="10" s="1"/>
  <c r="W65" i="10"/>
  <c r="W66" i="10" s="1"/>
  <c r="W67" i="10" s="1"/>
  <c r="W70" i="10" s="1"/>
  <c r="W86" i="10"/>
  <c r="W87" i="10" s="1"/>
  <c r="W88" i="10" s="1"/>
  <c r="W92" i="10" s="1"/>
  <c r="V38" i="10"/>
  <c r="V86" i="10"/>
  <c r="V87" i="10" s="1"/>
  <c r="V88" i="10" s="1"/>
  <c r="V92" i="10" s="1"/>
  <c r="V65" i="10"/>
  <c r="V66" i="10" s="1"/>
  <c r="V67" i="10" s="1"/>
  <c r="V70" i="10" s="1"/>
  <c r="S23" i="10"/>
  <c r="S69" i="10" s="1"/>
  <c r="S65" i="10"/>
  <c r="S66" i="10" s="1"/>
  <c r="S67" i="10" s="1"/>
  <c r="S70" i="10" s="1"/>
  <c r="S86" i="10"/>
  <c r="S87" i="10" s="1"/>
  <c r="S88" i="10" s="1"/>
  <c r="S92" i="10" s="1"/>
  <c r="K65" i="10"/>
  <c r="K66" i="10" s="1"/>
  <c r="K67" i="10" s="1"/>
  <c r="K70" i="10" s="1"/>
  <c r="K86" i="10"/>
  <c r="K87" i="10" s="1"/>
  <c r="K88" i="10" s="1"/>
  <c r="K92" i="10" s="1"/>
  <c r="N28" i="10"/>
  <c r="N83" i="10" s="1"/>
  <c r="N23" i="10"/>
  <c r="N69" i="10" s="1"/>
  <c r="N29" i="10"/>
  <c r="N84" i="10" s="1"/>
  <c r="H86" i="10"/>
  <c r="H87" i="10" s="1"/>
  <c r="H88" i="10" s="1"/>
  <c r="H92" i="10" s="1"/>
  <c r="N38" i="10"/>
  <c r="N34" i="10"/>
  <c r="X34" i="10"/>
  <c r="X38" i="10"/>
  <c r="X29" i="10"/>
  <c r="X84" i="10" s="1"/>
  <c r="X85" i="10" s="1"/>
  <c r="X91" i="10" s="1"/>
  <c r="X28" i="10"/>
  <c r="O29" i="10"/>
  <c r="O84" i="10" s="1"/>
  <c r="O85" i="10" s="1"/>
  <c r="O91" i="10" s="1"/>
  <c r="O28" i="10"/>
  <c r="O23" i="10"/>
  <c r="O69" i="10" s="1"/>
  <c r="O34" i="10"/>
  <c r="AA38" i="10"/>
  <c r="AA28" i="10"/>
  <c r="AD28" i="10"/>
  <c r="AD31" i="10" s="1"/>
  <c r="Z38" i="10"/>
  <c r="L38" i="10"/>
  <c r="W29" i="10"/>
  <c r="W84" i="10" s="1"/>
  <c r="W85" i="10" s="1"/>
  <c r="W91" i="10" s="1"/>
  <c r="Z28" i="10"/>
  <c r="Y38" i="10"/>
  <c r="Z29" i="10"/>
  <c r="Z84" i="10" s="1"/>
  <c r="Z85" i="10" s="1"/>
  <c r="Z91" i="10" s="1"/>
  <c r="Q38" i="10"/>
  <c r="Y34" i="10"/>
  <c r="AC29" i="10"/>
  <c r="AC84" i="10" s="1"/>
  <c r="AC85" i="10" s="1"/>
  <c r="AC91" i="10" s="1"/>
  <c r="Q28" i="10"/>
  <c r="Q83" i="10" s="1"/>
  <c r="Y23" i="10"/>
  <c r="AE34" i="10"/>
  <c r="AC34" i="10"/>
  <c r="Q23" i="10"/>
  <c r="Q69" i="10" s="1"/>
  <c r="R38" i="10"/>
  <c r="L28" i="10"/>
  <c r="L83" i="10" s="1"/>
  <c r="Y28" i="10"/>
  <c r="AC23" i="10"/>
  <c r="AC69" i="10" s="1"/>
  <c r="Q29" i="10"/>
  <c r="Q84" i="10" s="1"/>
  <c r="Q85" i="10" s="1"/>
  <c r="Q91" i="10" s="1"/>
  <c r="AE23" i="10"/>
  <c r="Q34" i="10"/>
  <c r="R28" i="10"/>
  <c r="R83" i="10" s="1"/>
  <c r="H29" i="10"/>
  <c r="K29" i="10"/>
  <c r="K84" i="10" s="1"/>
  <c r="K85" i="10" s="1"/>
  <c r="K91" i="10" s="1"/>
  <c r="P34" i="10"/>
  <c r="R23" i="10"/>
  <c r="R69" i="10" s="1"/>
  <c r="AD38" i="10"/>
  <c r="P29" i="10"/>
  <c r="P84" i="10" s="1"/>
  <c r="P85" i="10" s="1"/>
  <c r="P91" i="10" s="1"/>
  <c r="K38" i="10"/>
  <c r="P23" i="10"/>
  <c r="P69" i="10" s="1"/>
  <c r="R29" i="10"/>
  <c r="R84" i="10" s="1"/>
  <c r="R85" i="10" s="1"/>
  <c r="R91" i="10" s="1"/>
  <c r="AD29" i="10"/>
  <c r="AD84" i="10" s="1"/>
  <c r="AD85" i="10" s="1"/>
  <c r="AD91" i="10" s="1"/>
  <c r="W38" i="10"/>
  <c r="Z34" i="10"/>
  <c r="L29" i="10"/>
  <c r="L84" i="10" s="1"/>
  <c r="L85" i="10" s="1"/>
  <c r="L91" i="10" s="1"/>
  <c r="K23" i="10"/>
  <c r="K69" i="10" s="1"/>
  <c r="L34" i="10"/>
  <c r="T29" i="10"/>
  <c r="T84" i="10" s="1"/>
  <c r="V23" i="10"/>
  <c r="AD23" i="10"/>
  <c r="AD69" i="10" s="1"/>
  <c r="S38" i="10"/>
  <c r="T28" i="10"/>
  <c r="W23" i="10"/>
  <c r="S29" i="10"/>
  <c r="S84" i="10" s="1"/>
  <c r="S85" i="10" s="1"/>
  <c r="S91" i="10" s="1"/>
  <c r="V29" i="10"/>
  <c r="V84" i="10" s="1"/>
  <c r="V85" i="10" s="1"/>
  <c r="V91" i="10" s="1"/>
  <c r="K28" i="10"/>
  <c r="K83" i="10" s="1"/>
  <c r="V28" i="10"/>
  <c r="V83" i="10" s="1"/>
  <c r="K34" i="10"/>
  <c r="V34" i="10"/>
  <c r="T38" i="10"/>
  <c r="L23" i="10"/>
  <c r="L69" i="10" s="1"/>
  <c r="W28" i="10"/>
  <c r="T34" i="10"/>
  <c r="AC38" i="10"/>
  <c r="P38" i="10"/>
  <c r="W34" i="10"/>
  <c r="S28" i="10"/>
  <c r="S83" i="10" s="1"/>
  <c r="H28" i="10"/>
  <c r="H23" i="10"/>
  <c r="S34" i="10"/>
  <c r="H34" i="10"/>
  <c r="U38" i="10"/>
  <c r="AA29" i="10"/>
  <c r="AA84" i="10" s="1"/>
  <c r="AA85" i="10" s="1"/>
  <c r="AA91" i="10" s="1"/>
  <c r="U23" i="10"/>
  <c r="J29" i="10"/>
  <c r="J84" i="10" s="1"/>
  <c r="J85" i="10" s="1"/>
  <c r="J91" i="10" s="1"/>
  <c r="J23" i="10"/>
  <c r="J69" i="10" s="1"/>
  <c r="AB28" i="10"/>
  <c r="U28" i="10"/>
  <c r="M38" i="10"/>
  <c r="AB38" i="10"/>
  <c r="M28" i="10"/>
  <c r="M29" i="10"/>
  <c r="M84" i="10" s="1"/>
  <c r="M85" i="10" s="1"/>
  <c r="M91" i="10" s="1"/>
  <c r="J34" i="10"/>
  <c r="AE38" i="10"/>
  <c r="AB23" i="10"/>
  <c r="AB69" i="10" s="1"/>
  <c r="M23" i="10"/>
  <c r="M69" i="10" s="1"/>
  <c r="U29" i="10"/>
  <c r="U84" i="10" s="1"/>
  <c r="U85" i="10" s="1"/>
  <c r="U91" i="10" s="1"/>
  <c r="J38" i="10"/>
  <c r="AA23" i="10"/>
  <c r="AA69" i="10" s="1"/>
  <c r="U34" i="10"/>
  <c r="AB29" i="10"/>
  <c r="AB84" i="10" s="1"/>
  <c r="AB85" i="10" s="1"/>
  <c r="AB91" i="10" s="1"/>
  <c r="M34" i="10"/>
  <c r="AE29" i="10"/>
  <c r="AE84" i="10" s="1"/>
  <c r="AE85" i="10" s="1"/>
  <c r="AE91" i="10" s="1"/>
  <c r="H38" i="10"/>
  <c r="N25" i="10"/>
  <c r="X25" i="10"/>
  <c r="I31" i="10"/>
  <c r="Z25" i="10"/>
  <c r="B21" i="2"/>
  <c r="I93" i="10" l="1"/>
  <c r="I49" i="2" s="1"/>
  <c r="R71" i="10"/>
  <c r="AD71" i="10"/>
  <c r="AE83" i="10"/>
  <c r="AE90" i="10" s="1"/>
  <c r="AE93" i="10" s="1"/>
  <c r="AD49" i="2" s="1"/>
  <c r="AC83" i="10"/>
  <c r="AC90" i="10" s="1"/>
  <c r="AC93" i="10" s="1"/>
  <c r="AB49" i="2" s="1"/>
  <c r="P83" i="10"/>
  <c r="P90" i="10" s="1"/>
  <c r="P93" i="10" s="1"/>
  <c r="U83" i="10"/>
  <c r="U90" i="10" s="1"/>
  <c r="U93" i="10" s="1"/>
  <c r="T49" i="2" s="1"/>
  <c r="AD83" i="10"/>
  <c r="AD90" i="10" s="1"/>
  <c r="AD93" i="10" s="1"/>
  <c r="O83" i="10"/>
  <c r="O90" i="10" s="1"/>
  <c r="O93" i="10" s="1"/>
  <c r="O49" i="2" s="1"/>
  <c r="T83" i="10"/>
  <c r="T90" i="10" s="1"/>
  <c r="T93" i="10" s="1"/>
  <c r="M83" i="10"/>
  <c r="M90" i="10" s="1"/>
  <c r="M93" i="10" s="1"/>
  <c r="H83" i="10"/>
  <c r="H90" i="10" s="1"/>
  <c r="J83" i="10"/>
  <c r="J90" i="10" s="1"/>
  <c r="J93" i="10" s="1"/>
  <c r="J49" i="2" s="1"/>
  <c r="K71" i="10"/>
  <c r="K48" i="2" s="1"/>
  <c r="Z71" i="10"/>
  <c r="Y48" i="2" s="1"/>
  <c r="N71" i="10"/>
  <c r="N48" i="2" s="1"/>
  <c r="J71" i="10"/>
  <c r="P71" i="10"/>
  <c r="P48" i="2" s="1"/>
  <c r="X71" i="10"/>
  <c r="W48" i="2" s="1"/>
  <c r="AB71" i="10"/>
  <c r="L71" i="10"/>
  <c r="L48" i="2" s="1"/>
  <c r="T71" i="10"/>
  <c r="S71" i="10"/>
  <c r="H84" i="10"/>
  <c r="H85" i="10" s="1"/>
  <c r="H91" i="10" s="1"/>
  <c r="Y25" i="10"/>
  <c r="Y69" i="10"/>
  <c r="Y71" i="10" s="1"/>
  <c r="X48" i="2" s="1"/>
  <c r="Q31" i="10"/>
  <c r="Q90" i="10"/>
  <c r="Q93" i="10" s="1"/>
  <c r="S31" i="10"/>
  <c r="S90" i="10"/>
  <c r="S93" i="10" s="1"/>
  <c r="K31" i="10"/>
  <c r="K90" i="10"/>
  <c r="K93" i="10" s="1"/>
  <c r="R31" i="10"/>
  <c r="R90" i="10"/>
  <c r="R93" i="10" s="1"/>
  <c r="P31" i="10"/>
  <c r="AE25" i="10"/>
  <c r="AE69" i="10"/>
  <c r="AE71" i="10" s="1"/>
  <c r="AD48" i="2" s="1"/>
  <c r="O71" i="10"/>
  <c r="O48" i="2" s="1"/>
  <c r="N31" i="10"/>
  <c r="N90" i="10"/>
  <c r="N93" i="10" s="1"/>
  <c r="V31" i="10"/>
  <c r="V90" i="10"/>
  <c r="V93" i="10" s="1"/>
  <c r="AA31" i="10"/>
  <c r="AA83" i="10" s="1"/>
  <c r="AA90" i="10" s="1"/>
  <c r="AA93" i="10" s="1"/>
  <c r="AA71" i="10"/>
  <c r="W25" i="10"/>
  <c r="W69" i="10"/>
  <c r="W71" i="10" s="1"/>
  <c r="V48" i="2" s="1"/>
  <c r="T25" i="10"/>
  <c r="AC71" i="10"/>
  <c r="M71" i="10"/>
  <c r="M48" i="2" s="1"/>
  <c r="U25" i="10"/>
  <c r="U69" i="10"/>
  <c r="U71" i="10" s="1"/>
  <c r="W31" i="10"/>
  <c r="W83" i="10" s="1"/>
  <c r="W90" i="10" s="1"/>
  <c r="W93" i="10" s="1"/>
  <c r="L31" i="10"/>
  <c r="L90" i="10"/>
  <c r="L93" i="10" s="1"/>
  <c r="Z31" i="10"/>
  <c r="Z83" i="10" s="1"/>
  <c r="Z90" i="10" s="1"/>
  <c r="Z93" i="10" s="1"/>
  <c r="J31" i="10"/>
  <c r="S25" i="10"/>
  <c r="V25" i="10"/>
  <c r="V69" i="10"/>
  <c r="V71" i="10" s="1"/>
  <c r="Q71" i="10"/>
  <c r="H69" i="10"/>
  <c r="H71" i="10" s="1"/>
  <c r="H48" i="2" s="1"/>
  <c r="J25" i="10"/>
  <c r="M25" i="10"/>
  <c r="L25" i="10"/>
  <c r="R25" i="10"/>
  <c r="I48" i="2"/>
  <c r="K57" i="2"/>
  <c r="P25" i="10"/>
  <c r="M31" i="10"/>
  <c r="O25" i="10"/>
  <c r="X31" i="10"/>
  <c r="X83" i="10" s="1"/>
  <c r="X90" i="10" s="1"/>
  <c r="X93" i="10" s="1"/>
  <c r="W49" i="2" s="1"/>
  <c r="O31" i="10"/>
  <c r="Y31" i="10"/>
  <c r="Y83" i="10" s="1"/>
  <c r="Y90" i="10" s="1"/>
  <c r="Y93" i="10" s="1"/>
  <c r="X49" i="2" s="1"/>
  <c r="K56" i="2"/>
  <c r="K25" i="10"/>
  <c r="AC25" i="10"/>
  <c r="Q25" i="10"/>
  <c r="H25" i="10"/>
  <c r="H31" i="10"/>
  <c r="AB31" i="10"/>
  <c r="T31" i="10"/>
  <c r="AD25" i="10"/>
  <c r="AA25" i="10"/>
  <c r="U31" i="10"/>
  <c r="AB25" i="10"/>
  <c r="L5" i="11"/>
  <c r="O6" i="10"/>
  <c r="K58" i="2" l="1"/>
  <c r="P49" i="2"/>
  <c r="H93" i="10"/>
  <c r="H49" i="2" s="1"/>
  <c r="AB83" i="10"/>
  <c r="AB90" i="10" s="1"/>
  <c r="AB93" i="10" s="1"/>
  <c r="AA49" i="2" s="1"/>
  <c r="Z48" i="2"/>
  <c r="AC48" i="2"/>
  <c r="AB48" i="2"/>
  <c r="AA48" i="2"/>
  <c r="M49" i="2"/>
  <c r="L49" i="2"/>
  <c r="J48" i="2"/>
  <c r="R48" i="2"/>
  <c r="T48" i="2"/>
  <c r="U48" i="2"/>
  <c r="N49" i="2"/>
  <c r="S49" i="2"/>
  <c r="AC49" i="2"/>
  <c r="R49" i="2"/>
  <c r="V49" i="2"/>
  <c r="Y49" i="2"/>
  <c r="U49" i="2"/>
  <c r="Z49" i="2"/>
  <c r="K49" i="2"/>
  <c r="H55" i="2"/>
  <c r="K55" i="2"/>
  <c r="Q49" i="2"/>
  <c r="Q48" i="2"/>
  <c r="O7" i="10"/>
  <c r="S40" i="10" s="1"/>
  <c r="X40" i="10"/>
  <c r="Z40" i="10"/>
  <c r="J40" i="10"/>
  <c r="P40" i="10"/>
  <c r="S48" i="2" l="1"/>
  <c r="H56" i="2"/>
  <c r="H57" i="2"/>
  <c r="H40" i="10"/>
  <c r="H43" i="10" s="1"/>
  <c r="H124" i="10" s="1"/>
  <c r="H133" i="10" s="1"/>
  <c r="Y40" i="10"/>
  <c r="Y41" i="10" s="1"/>
  <c r="I40" i="10"/>
  <c r="I41" i="10" s="1"/>
  <c r="Q40" i="10"/>
  <c r="Q128" i="10" s="1"/>
  <c r="Q129" i="10" s="1"/>
  <c r="Q130" i="10" s="1"/>
  <c r="Q134" i="10" s="1"/>
  <c r="AA40" i="10"/>
  <c r="AA43" i="10" s="1"/>
  <c r="AA124" i="10" s="1"/>
  <c r="AA125" i="10" s="1"/>
  <c r="AA133" i="10" s="1"/>
  <c r="O40" i="10"/>
  <c r="O43" i="10" s="1"/>
  <c r="O124" i="10" s="1"/>
  <c r="O125" i="10" s="1"/>
  <c r="O133" i="10" s="1"/>
  <c r="V40" i="10"/>
  <c r="V128" i="10" s="1"/>
  <c r="V129" i="10" s="1"/>
  <c r="V130" i="10" s="1"/>
  <c r="V134" i="10" s="1"/>
  <c r="AD40" i="10"/>
  <c r="AD126" i="10" s="1"/>
  <c r="U40" i="10"/>
  <c r="U41" i="10" s="1"/>
  <c r="T40" i="10"/>
  <c r="T42" i="10" s="1"/>
  <c r="T121" i="10" s="1"/>
  <c r="T123" i="10" s="1"/>
  <c r="T132" i="10" s="1"/>
  <c r="M40" i="10"/>
  <c r="M128" i="10" s="1"/>
  <c r="M129" i="10" s="1"/>
  <c r="M130" i="10" s="1"/>
  <c r="M134" i="10" s="1"/>
  <c r="N40" i="10"/>
  <c r="N41" i="10" s="1"/>
  <c r="L40" i="10"/>
  <c r="L43" i="10" s="1"/>
  <c r="L124" i="10" s="1"/>
  <c r="L125" i="10" s="1"/>
  <c r="L133" i="10" s="1"/>
  <c r="AB40" i="10"/>
  <c r="AB126" i="10" s="1"/>
  <c r="AE40" i="10"/>
  <c r="AE128" i="10" s="1"/>
  <c r="AE129" i="10" s="1"/>
  <c r="AE130" i="10" s="1"/>
  <c r="AE134" i="10" s="1"/>
  <c r="W40" i="10"/>
  <c r="W128" i="10" s="1"/>
  <c r="W129" i="10" s="1"/>
  <c r="W130" i="10" s="1"/>
  <c r="W134" i="10" s="1"/>
  <c r="AC40" i="10"/>
  <c r="AC42" i="10" s="1"/>
  <c r="AC121" i="10" s="1"/>
  <c r="AC123" i="10" s="1"/>
  <c r="AC132" i="10" s="1"/>
  <c r="O8" i="10"/>
  <c r="R40" i="10"/>
  <c r="R126" i="10" s="1"/>
  <c r="K40" i="10"/>
  <c r="K126" i="10" s="1"/>
  <c r="O128" i="10"/>
  <c r="O129" i="10" s="1"/>
  <c r="O130" i="10" s="1"/>
  <c r="O134" i="10" s="1"/>
  <c r="Y126" i="10"/>
  <c r="P126" i="10"/>
  <c r="P128" i="10"/>
  <c r="P129" i="10" s="1"/>
  <c r="P130" i="10" s="1"/>
  <c r="P134" i="10" s="1"/>
  <c r="J126" i="10"/>
  <c r="J128" i="10"/>
  <c r="J129" i="10" s="1"/>
  <c r="J130" i="10" s="1"/>
  <c r="J134" i="10" s="1"/>
  <c r="Z126" i="10"/>
  <c r="Z128" i="10"/>
  <c r="Z129" i="10" s="1"/>
  <c r="Z130" i="10" s="1"/>
  <c r="Z134" i="10" s="1"/>
  <c r="X128" i="10"/>
  <c r="X129" i="10" s="1"/>
  <c r="X130" i="10" s="1"/>
  <c r="X134" i="10" s="1"/>
  <c r="X126" i="10"/>
  <c r="I126" i="10"/>
  <c r="I128" i="10"/>
  <c r="I129" i="10" s="1"/>
  <c r="I130" i="10" s="1"/>
  <c r="I134" i="10" s="1"/>
  <c r="S128" i="10"/>
  <c r="S129" i="10" s="1"/>
  <c r="S130" i="10" s="1"/>
  <c r="S134" i="10" s="1"/>
  <c r="S126" i="10"/>
  <c r="J43" i="10"/>
  <c r="J124" i="10" s="1"/>
  <c r="J125" i="10" s="1"/>
  <c r="J133" i="10" s="1"/>
  <c r="J42" i="10"/>
  <c r="J121" i="10" s="1"/>
  <c r="J123" i="10" s="1"/>
  <c r="J132" i="10" s="1"/>
  <c r="J41" i="10"/>
  <c r="Z41" i="10"/>
  <c r="Z42" i="10"/>
  <c r="Z121" i="10" s="1"/>
  <c r="Z123" i="10" s="1"/>
  <c r="Z132" i="10" s="1"/>
  <c r="Z43" i="10"/>
  <c r="Z124" i="10" s="1"/>
  <c r="Z125" i="10" s="1"/>
  <c r="Z133" i="10" s="1"/>
  <c r="Q42" i="10"/>
  <c r="Q121" i="10" s="1"/>
  <c r="Q123" i="10" s="1"/>
  <c r="Q132" i="10" s="1"/>
  <c r="I42" i="10"/>
  <c r="I121" i="10" s="1"/>
  <c r="I123" i="10" s="1"/>
  <c r="I132" i="10" s="1"/>
  <c r="I43" i="10"/>
  <c r="I124" i="10" s="1"/>
  <c r="I125" i="10" s="1"/>
  <c r="I133" i="10" s="1"/>
  <c r="Y42" i="10"/>
  <c r="Y121" i="10" s="1"/>
  <c r="Y123" i="10" s="1"/>
  <c r="Y132" i="10" s="1"/>
  <c r="Y43" i="10"/>
  <c r="Y124" i="10" s="1"/>
  <c r="Y125" i="10" s="1"/>
  <c r="Y133" i="10" s="1"/>
  <c r="X41" i="10"/>
  <c r="X42" i="10"/>
  <c r="X121" i="10" s="1"/>
  <c r="X123" i="10" s="1"/>
  <c r="X132" i="10" s="1"/>
  <c r="X43" i="10"/>
  <c r="X124" i="10" s="1"/>
  <c r="X125" i="10" s="1"/>
  <c r="X133" i="10" s="1"/>
  <c r="P43" i="10"/>
  <c r="P124" i="10" s="1"/>
  <c r="P125" i="10" s="1"/>
  <c r="P133" i="10" s="1"/>
  <c r="P42" i="10"/>
  <c r="P121" i="10" s="1"/>
  <c r="P123" i="10" s="1"/>
  <c r="P132" i="10" s="1"/>
  <c r="P41" i="10"/>
  <c r="S41" i="10"/>
  <c r="S42" i="10"/>
  <c r="S121" i="10" s="1"/>
  <c r="S123" i="10" s="1"/>
  <c r="S132" i="10" s="1"/>
  <c r="S43" i="10"/>
  <c r="S124" i="10" s="1"/>
  <c r="S125" i="10" s="1"/>
  <c r="S133" i="10" s="1"/>
  <c r="Y128" i="10" l="1"/>
  <c r="Y129" i="10" s="1"/>
  <c r="Y130" i="10" s="1"/>
  <c r="Y134" i="10" s="1"/>
  <c r="O126" i="10"/>
  <c r="AA128" i="10"/>
  <c r="AA129" i="10" s="1"/>
  <c r="AA130" i="10" s="1"/>
  <c r="AA134" i="10" s="1"/>
  <c r="AA126" i="10"/>
  <c r="Q126" i="10"/>
  <c r="AD42" i="10"/>
  <c r="AD121" i="10" s="1"/>
  <c r="AD123" i="10" s="1"/>
  <c r="AD132" i="10" s="1"/>
  <c r="V43" i="10"/>
  <c r="V124" i="10" s="1"/>
  <c r="V125" i="10" s="1"/>
  <c r="V133" i="10" s="1"/>
  <c r="V41" i="10"/>
  <c r="O42" i="10"/>
  <c r="O121" i="10" s="1"/>
  <c r="O123" i="10" s="1"/>
  <c r="O132" i="10" s="1"/>
  <c r="V42" i="10"/>
  <c r="V121" i="10" s="1"/>
  <c r="V123" i="10" s="1"/>
  <c r="V132" i="10" s="1"/>
  <c r="O41" i="10"/>
  <c r="O99" i="10" s="1"/>
  <c r="O100" i="10" s="1"/>
  <c r="O101" i="10" s="1"/>
  <c r="O103" i="10" s="1"/>
  <c r="Q41" i="10"/>
  <c r="Q99" i="10" s="1"/>
  <c r="Q100" i="10" s="1"/>
  <c r="Q101" i="10" s="1"/>
  <c r="Q103" i="10" s="1"/>
  <c r="Q43" i="10"/>
  <c r="Q124" i="10" s="1"/>
  <c r="Q125" i="10" s="1"/>
  <c r="Q133" i="10" s="1"/>
  <c r="AD43" i="10"/>
  <c r="AD124" i="10" s="1"/>
  <c r="AD125" i="10" s="1"/>
  <c r="AD133" i="10" s="1"/>
  <c r="V126" i="10"/>
  <c r="V127" i="10" s="1"/>
  <c r="V135" i="10" s="1"/>
  <c r="H126" i="10"/>
  <c r="H127" i="10" s="1"/>
  <c r="H135" i="10" s="1"/>
  <c r="H128" i="10"/>
  <c r="H129" i="10" s="1"/>
  <c r="H130" i="10" s="1"/>
  <c r="H134" i="10" s="1"/>
  <c r="AA42" i="10"/>
  <c r="AA121" i="10" s="1"/>
  <c r="AA123" i="10" s="1"/>
  <c r="AA132" i="10" s="1"/>
  <c r="H42" i="10"/>
  <c r="H121" i="10" s="1"/>
  <c r="H123" i="10" s="1"/>
  <c r="H132" i="10" s="1"/>
  <c r="AA41" i="10"/>
  <c r="AA99" i="10" s="1"/>
  <c r="AA100" i="10" s="1"/>
  <c r="AA101" i="10" s="1"/>
  <c r="AA103" i="10" s="1"/>
  <c r="AD41" i="10"/>
  <c r="AD99" i="10" s="1"/>
  <c r="AD100" i="10" s="1"/>
  <c r="AD101" i="10" s="1"/>
  <c r="AD103" i="10" s="1"/>
  <c r="AD128" i="10"/>
  <c r="AD129" i="10" s="1"/>
  <c r="AD130" i="10" s="1"/>
  <c r="AD134" i="10" s="1"/>
  <c r="H41" i="10"/>
  <c r="H99" i="10" s="1"/>
  <c r="M42" i="10"/>
  <c r="M121" i="10" s="1"/>
  <c r="M123" i="10" s="1"/>
  <c r="M132" i="10" s="1"/>
  <c r="M43" i="10"/>
  <c r="M124" i="10" s="1"/>
  <c r="M125" i="10" s="1"/>
  <c r="M133" i="10" s="1"/>
  <c r="T43" i="10"/>
  <c r="T124" i="10" s="1"/>
  <c r="T125" i="10" s="1"/>
  <c r="T133" i="10" s="1"/>
  <c r="T128" i="10"/>
  <c r="T129" i="10" s="1"/>
  <c r="T130" i="10" s="1"/>
  <c r="T134" i="10" s="1"/>
  <c r="T126" i="10"/>
  <c r="T127" i="10" s="1"/>
  <c r="T135" i="10" s="1"/>
  <c r="T41" i="10"/>
  <c r="T99" i="10" s="1"/>
  <c r="T100" i="10" s="1"/>
  <c r="T101" i="10" s="1"/>
  <c r="T103" i="10" s="1"/>
  <c r="AE42" i="10"/>
  <c r="AE121" i="10" s="1"/>
  <c r="AE123" i="10" s="1"/>
  <c r="AE132" i="10" s="1"/>
  <c r="L41" i="10"/>
  <c r="L99" i="10" s="1"/>
  <c r="L100" i="10" s="1"/>
  <c r="L101" i="10" s="1"/>
  <c r="L103" i="10" s="1"/>
  <c r="L42" i="10"/>
  <c r="L121" i="10" s="1"/>
  <c r="L123" i="10" s="1"/>
  <c r="L132" i="10" s="1"/>
  <c r="U128" i="10"/>
  <c r="U129" i="10" s="1"/>
  <c r="U130" i="10" s="1"/>
  <c r="U134" i="10" s="1"/>
  <c r="U126" i="10"/>
  <c r="U127" i="10" s="1"/>
  <c r="U135" i="10" s="1"/>
  <c r="AE41" i="10"/>
  <c r="AE99" i="10" s="1"/>
  <c r="AE100" i="10" s="1"/>
  <c r="AE101" i="10" s="1"/>
  <c r="AE103" i="10" s="1"/>
  <c r="U43" i="10"/>
  <c r="U124" i="10" s="1"/>
  <c r="U125" i="10" s="1"/>
  <c r="U133" i="10" s="1"/>
  <c r="AB43" i="10"/>
  <c r="AB124" i="10" s="1"/>
  <c r="AB125" i="10" s="1"/>
  <c r="AB133" i="10" s="1"/>
  <c r="N42" i="10"/>
  <c r="N121" i="10" s="1"/>
  <c r="N123" i="10" s="1"/>
  <c r="N132" i="10" s="1"/>
  <c r="U42" i="10"/>
  <c r="U121" i="10" s="1"/>
  <c r="U123" i="10" s="1"/>
  <c r="U132" i="10" s="1"/>
  <c r="AB41" i="10"/>
  <c r="AB99" i="10" s="1"/>
  <c r="AB100" i="10" s="1"/>
  <c r="AB101" i="10" s="1"/>
  <c r="AB103" i="10" s="1"/>
  <c r="AB42" i="10"/>
  <c r="AB121" i="10" s="1"/>
  <c r="AB123" i="10" s="1"/>
  <c r="AB132" i="10" s="1"/>
  <c r="AB128" i="10"/>
  <c r="AB129" i="10" s="1"/>
  <c r="AB130" i="10" s="1"/>
  <c r="AB134" i="10" s="1"/>
  <c r="L126" i="10"/>
  <c r="L127" i="10" s="1"/>
  <c r="L135" i="10" s="1"/>
  <c r="N128" i="10"/>
  <c r="N129" i="10" s="1"/>
  <c r="N130" i="10" s="1"/>
  <c r="N134" i="10" s="1"/>
  <c r="L128" i="10"/>
  <c r="L129" i="10" s="1"/>
  <c r="L130" i="10" s="1"/>
  <c r="L134" i="10" s="1"/>
  <c r="W43" i="10"/>
  <c r="W124" i="10" s="1"/>
  <c r="W125" i="10" s="1"/>
  <c r="W133" i="10" s="1"/>
  <c r="W41" i="10"/>
  <c r="W99" i="10" s="1"/>
  <c r="W100" i="10" s="1"/>
  <c r="W101" i="10" s="1"/>
  <c r="W103" i="10" s="1"/>
  <c r="N43" i="10"/>
  <c r="N124" i="10" s="1"/>
  <c r="N125" i="10" s="1"/>
  <c r="N133" i="10" s="1"/>
  <c r="N126" i="10"/>
  <c r="N127" i="10" s="1"/>
  <c r="N135" i="10" s="1"/>
  <c r="W42" i="10"/>
  <c r="W121" i="10" s="1"/>
  <c r="W123" i="10" s="1"/>
  <c r="W132" i="10" s="1"/>
  <c r="AE126" i="10"/>
  <c r="AE127" i="10" s="1"/>
  <c r="AE135" i="10" s="1"/>
  <c r="M126" i="10"/>
  <c r="M127" i="10" s="1"/>
  <c r="M135" i="10" s="1"/>
  <c r="AE43" i="10"/>
  <c r="AE124" i="10" s="1"/>
  <c r="AE125" i="10" s="1"/>
  <c r="AE133" i="10" s="1"/>
  <c r="M41" i="10"/>
  <c r="M99" i="10" s="1"/>
  <c r="M100" i="10" s="1"/>
  <c r="M101" i="10" s="1"/>
  <c r="M103" i="10" s="1"/>
  <c r="K41" i="10"/>
  <c r="K99" i="10" s="1"/>
  <c r="K100" i="10" s="1"/>
  <c r="K101" i="10" s="1"/>
  <c r="K103" i="10" s="1"/>
  <c r="AC128" i="10"/>
  <c r="AC129" i="10" s="1"/>
  <c r="AC130" i="10" s="1"/>
  <c r="AC134" i="10" s="1"/>
  <c r="K42" i="10"/>
  <c r="K121" i="10" s="1"/>
  <c r="K123" i="10" s="1"/>
  <c r="K132" i="10" s="1"/>
  <c r="K43" i="10"/>
  <c r="K124" i="10" s="1"/>
  <c r="K125" i="10" s="1"/>
  <c r="K133" i="10" s="1"/>
  <c r="R41" i="10"/>
  <c r="R99" i="10" s="1"/>
  <c r="R100" i="10" s="1"/>
  <c r="R101" i="10" s="1"/>
  <c r="R103" i="10" s="1"/>
  <c r="R104" i="10" s="1"/>
  <c r="R105" i="10" s="1"/>
  <c r="R113" i="10" s="1"/>
  <c r="R42" i="10"/>
  <c r="R121" i="10" s="1"/>
  <c r="R123" i="10" s="1"/>
  <c r="R132" i="10" s="1"/>
  <c r="AC43" i="10"/>
  <c r="AC124" i="10" s="1"/>
  <c r="AC125" i="10" s="1"/>
  <c r="AC133" i="10" s="1"/>
  <c r="AC126" i="10"/>
  <c r="AC127" i="10" s="1"/>
  <c r="AC135" i="10" s="1"/>
  <c r="R43" i="10"/>
  <c r="R124" i="10" s="1"/>
  <c r="R125" i="10" s="1"/>
  <c r="R133" i="10" s="1"/>
  <c r="AC41" i="10"/>
  <c r="AC99" i="10" s="1"/>
  <c r="AC100" i="10" s="1"/>
  <c r="AC101" i="10" s="1"/>
  <c r="AC103" i="10" s="1"/>
  <c r="W126" i="10"/>
  <c r="W127" i="10" s="1"/>
  <c r="W135" i="10" s="1"/>
  <c r="K128" i="10"/>
  <c r="K129" i="10" s="1"/>
  <c r="K130" i="10" s="1"/>
  <c r="R128" i="10"/>
  <c r="R129" i="10" s="1"/>
  <c r="R130" i="10" s="1"/>
  <c r="R134" i="10" s="1"/>
  <c r="N99" i="10"/>
  <c r="N100" i="10" s="1"/>
  <c r="N101" i="10" s="1"/>
  <c r="N103" i="10" s="1"/>
  <c r="N104" i="10" s="1"/>
  <c r="N105" i="10" s="1"/>
  <c r="N113" i="10" s="1"/>
  <c r="R127" i="10"/>
  <c r="R135" i="10" s="1"/>
  <c r="V99" i="10"/>
  <c r="V100" i="10" s="1"/>
  <c r="V101" i="10" s="1"/>
  <c r="V103" i="10" s="1"/>
  <c r="AA127" i="10"/>
  <c r="AA135" i="10" s="1"/>
  <c r="J99" i="10"/>
  <c r="J100" i="10" s="1"/>
  <c r="J101" i="10" s="1"/>
  <c r="J103" i="10" s="1"/>
  <c r="J127" i="10"/>
  <c r="J135" i="10" s="1"/>
  <c r="J136" i="10" s="1"/>
  <c r="J51" i="2" s="1"/>
  <c r="AD127" i="10"/>
  <c r="AD135" i="10" s="1"/>
  <c r="Y99" i="10"/>
  <c r="Y100" i="10" s="1"/>
  <c r="Y101" i="10" s="1"/>
  <c r="Y103" i="10" s="1"/>
  <c r="Y127" i="10"/>
  <c r="Y135" i="10" s="1"/>
  <c r="Y136" i="10" s="1"/>
  <c r="X51" i="2" s="1"/>
  <c r="I99" i="10"/>
  <c r="I100" i="10" s="1"/>
  <c r="I101" i="10" s="1"/>
  <c r="I103" i="10" s="1"/>
  <c r="I127" i="10"/>
  <c r="I135" i="10" s="1"/>
  <c r="I136" i="10" s="1"/>
  <c r="I51" i="2" s="1"/>
  <c r="Q127" i="10"/>
  <c r="Q135" i="10" s="1"/>
  <c r="AB127" i="10"/>
  <c r="AB135" i="10" s="1"/>
  <c r="K127" i="10"/>
  <c r="K135" i="10" s="1"/>
  <c r="X99" i="10"/>
  <c r="X100" i="10" s="1"/>
  <c r="X101" i="10" s="1"/>
  <c r="X103" i="10" s="1"/>
  <c r="X127" i="10"/>
  <c r="X135" i="10" s="1"/>
  <c r="X136" i="10" s="1"/>
  <c r="W51" i="2" s="1"/>
  <c r="Z99" i="10"/>
  <c r="Z100" i="10" s="1"/>
  <c r="Z101" i="10" s="1"/>
  <c r="Z103" i="10" s="1"/>
  <c r="Z127" i="10"/>
  <c r="Z135" i="10" s="1"/>
  <c r="Z136" i="10" s="1"/>
  <c r="Y51" i="2" s="1"/>
  <c r="P99" i="10"/>
  <c r="P100" i="10" s="1"/>
  <c r="P101" i="10" s="1"/>
  <c r="P103" i="10" s="1"/>
  <c r="P104" i="10" s="1"/>
  <c r="P105" i="10" s="1"/>
  <c r="P113" i="10" s="1"/>
  <c r="P127" i="10"/>
  <c r="P135" i="10" s="1"/>
  <c r="P136" i="10" s="1"/>
  <c r="P51" i="2" s="1"/>
  <c r="U99" i="10"/>
  <c r="U100" i="10" s="1"/>
  <c r="U101" i="10" s="1"/>
  <c r="U103" i="10" s="1"/>
  <c r="O127" i="10"/>
  <c r="O135" i="10" s="1"/>
  <c r="S99" i="10"/>
  <c r="S100" i="10" s="1"/>
  <c r="S101" i="10" s="1"/>
  <c r="S103" i="10" s="1"/>
  <c r="S127" i="10"/>
  <c r="S135" i="10" s="1"/>
  <c r="S136" i="10" s="1"/>
  <c r="R106" i="10" l="1"/>
  <c r="R107" i="10" s="1"/>
  <c r="R108" i="10" s="1"/>
  <c r="R114" i="10" s="1"/>
  <c r="N106" i="10"/>
  <c r="N107" i="10" s="1"/>
  <c r="N108" i="10" s="1"/>
  <c r="N114" i="10" s="1"/>
  <c r="P106" i="10"/>
  <c r="P107" i="10" s="1"/>
  <c r="P108" i="10" s="1"/>
  <c r="P114" i="10" s="1"/>
  <c r="H136" i="10"/>
  <c r="H51" i="2" s="1"/>
  <c r="V136" i="10"/>
  <c r="U51" i="2" s="1"/>
  <c r="O136" i="10"/>
  <c r="O51" i="2" s="1"/>
  <c r="Q55" i="2"/>
  <c r="Q136" i="10"/>
  <c r="Q51" i="2" s="1"/>
  <c r="AD136" i="10"/>
  <c r="AC51" i="2" s="1"/>
  <c r="Q56" i="2"/>
  <c r="K134" i="10"/>
  <c r="K136" i="10" s="1"/>
  <c r="K51" i="2" s="1"/>
  <c r="Q57" i="2"/>
  <c r="AA136" i="10"/>
  <c r="Z51" i="2" s="1"/>
  <c r="Q58" i="2"/>
  <c r="M136" i="10"/>
  <c r="M51" i="2" s="1"/>
  <c r="T136" i="10"/>
  <c r="S51" i="2" s="1"/>
  <c r="W136" i="10"/>
  <c r="V51" i="2" s="1"/>
  <c r="U136" i="10"/>
  <c r="T51" i="2" s="1"/>
  <c r="AC136" i="10"/>
  <c r="AB51" i="2" s="1"/>
  <c r="N136" i="10"/>
  <c r="N51" i="2" s="1"/>
  <c r="AE136" i="10"/>
  <c r="AD51" i="2" s="1"/>
  <c r="AB136" i="10"/>
  <c r="AA51" i="2" s="1"/>
  <c r="L136" i="10"/>
  <c r="L51" i="2" s="1"/>
  <c r="R136" i="10"/>
  <c r="R51" i="2" s="1"/>
  <c r="L104" i="10"/>
  <c r="L105" i="10" s="1"/>
  <c r="L113" i="10" s="1"/>
  <c r="AB104" i="10"/>
  <c r="AB105" i="10" s="1"/>
  <c r="AB113" i="10" s="1"/>
  <c r="O104" i="10"/>
  <c r="O105" i="10" s="1"/>
  <c r="O113" i="10" s="1"/>
  <c r="V104" i="10"/>
  <c r="V105" i="10" s="1"/>
  <c r="V113" i="10" s="1"/>
  <c r="X104" i="10"/>
  <c r="X105" i="10" s="1"/>
  <c r="X113" i="10" s="1"/>
  <c r="J104" i="10"/>
  <c r="J105" i="10" s="1"/>
  <c r="J113" i="10" s="1"/>
  <c r="M104" i="10"/>
  <c r="M105" i="10" s="1"/>
  <c r="M113" i="10" s="1"/>
  <c r="AC104" i="10"/>
  <c r="AC105" i="10" s="1"/>
  <c r="AC113" i="10" s="1"/>
  <c r="U104" i="10"/>
  <c r="U105" i="10" s="1"/>
  <c r="U113" i="10" s="1"/>
  <c r="H104" i="10"/>
  <c r="I104" i="10"/>
  <c r="I105" i="10" s="1"/>
  <c r="I113" i="10" s="1"/>
  <c r="Y104" i="10"/>
  <c r="Y105" i="10" s="1"/>
  <c r="Y113" i="10" s="1"/>
  <c r="T104" i="10"/>
  <c r="T105" i="10" s="1"/>
  <c r="T113" i="10" s="1"/>
  <c r="K104" i="10"/>
  <c r="K105" i="10" s="1"/>
  <c r="K113" i="10" s="1"/>
  <c r="AE104" i="10"/>
  <c r="AE105" i="10" s="1"/>
  <c r="AE113" i="10" s="1"/>
  <c r="S104" i="10"/>
  <c r="S105" i="10" s="1"/>
  <c r="S113" i="10" s="1"/>
  <c r="AA104" i="10"/>
  <c r="AA105" i="10" s="1"/>
  <c r="AA113" i="10" s="1"/>
  <c r="W104" i="10"/>
  <c r="W105" i="10" s="1"/>
  <c r="W113" i="10" s="1"/>
  <c r="Z104" i="10"/>
  <c r="Z105" i="10" s="1"/>
  <c r="Z113" i="10" s="1"/>
  <c r="AD104" i="10"/>
  <c r="AD105" i="10" s="1"/>
  <c r="AD113" i="10" s="1"/>
  <c r="Q104" i="10"/>
  <c r="Q105" i="10" s="1"/>
  <c r="Q113" i="10" s="1"/>
  <c r="H105" i="10" l="1"/>
  <c r="H113" i="10" s="1"/>
  <c r="P109" i="10"/>
  <c r="P110" i="10" s="1"/>
  <c r="P111" i="10" s="1"/>
  <c r="P115" i="10" s="1"/>
  <c r="P116" i="10" s="1"/>
  <c r="P50" i="2" s="1"/>
  <c r="N109" i="10"/>
  <c r="N110" i="10" s="1"/>
  <c r="N111" i="10" s="1"/>
  <c r="N115" i="10" s="1"/>
  <c r="N116" i="10" s="1"/>
  <c r="N50" i="2" s="1"/>
  <c r="U106" i="10"/>
  <c r="U107" i="10" s="1"/>
  <c r="U108" i="10" s="1"/>
  <c r="U114" i="10" s="1"/>
  <c r="Z106" i="10"/>
  <c r="Z107" i="10" s="1"/>
  <c r="Z108" i="10" s="1"/>
  <c r="Z114" i="10" s="1"/>
  <c r="AC106" i="10"/>
  <c r="AC109" i="10" s="1"/>
  <c r="AC110" i="10" s="1"/>
  <c r="AC111" i="10" s="1"/>
  <c r="AC115" i="10" s="1"/>
  <c r="W106" i="10"/>
  <c r="W109" i="10" s="1"/>
  <c r="W110" i="10" s="1"/>
  <c r="W111" i="10" s="1"/>
  <c r="W115" i="10" s="1"/>
  <c r="M106" i="10"/>
  <c r="M109" i="10" s="1"/>
  <c r="M110" i="10" s="1"/>
  <c r="M111" i="10" s="1"/>
  <c r="M115" i="10" s="1"/>
  <c r="AA106" i="10"/>
  <c r="AA109" i="10" s="1"/>
  <c r="AA110" i="10" s="1"/>
  <c r="AA111" i="10" s="1"/>
  <c r="AA115" i="10" s="1"/>
  <c r="J106" i="10"/>
  <c r="J109" i="10" s="1"/>
  <c r="J110" i="10" s="1"/>
  <c r="J111" i="10" s="1"/>
  <c r="J115" i="10" s="1"/>
  <c r="S106" i="10"/>
  <c r="S107" i="10" s="1"/>
  <c r="S108" i="10" s="1"/>
  <c r="S114" i="10" s="1"/>
  <c r="AE106" i="10"/>
  <c r="AE107" i="10" s="1"/>
  <c r="AE108" i="10" s="1"/>
  <c r="AE114" i="10" s="1"/>
  <c r="X106" i="10"/>
  <c r="X109" i="10" s="1"/>
  <c r="X110" i="10" s="1"/>
  <c r="X111" i="10" s="1"/>
  <c r="X115" i="10" s="1"/>
  <c r="K106" i="10"/>
  <c r="K107" i="10" s="1"/>
  <c r="K108" i="10" s="1"/>
  <c r="K114" i="10" s="1"/>
  <c r="V106" i="10"/>
  <c r="V107" i="10" s="1"/>
  <c r="V108" i="10" s="1"/>
  <c r="V114" i="10" s="1"/>
  <c r="T106" i="10"/>
  <c r="T107" i="10" s="1"/>
  <c r="T108" i="10" s="1"/>
  <c r="T114" i="10" s="1"/>
  <c r="O106" i="10"/>
  <c r="O107" i="10" s="1"/>
  <c r="O108" i="10" s="1"/>
  <c r="O114" i="10" s="1"/>
  <c r="Y106" i="10"/>
  <c r="Y107" i="10" s="1"/>
  <c r="Y108" i="10" s="1"/>
  <c r="Y114" i="10" s="1"/>
  <c r="AB106" i="10"/>
  <c r="AB107" i="10" s="1"/>
  <c r="AB108" i="10" s="1"/>
  <c r="AB114" i="10" s="1"/>
  <c r="R109" i="10"/>
  <c r="R110" i="10" s="1"/>
  <c r="R111" i="10" s="1"/>
  <c r="R115" i="10" s="1"/>
  <c r="R116" i="10" s="1"/>
  <c r="R50" i="2" s="1"/>
  <c r="I106" i="10"/>
  <c r="I107" i="10" s="1"/>
  <c r="I108" i="10" s="1"/>
  <c r="I114" i="10" s="1"/>
  <c r="L106" i="10"/>
  <c r="L107" i="10" s="1"/>
  <c r="L108" i="10" s="1"/>
  <c r="L114" i="10" s="1"/>
  <c r="H106" i="10"/>
  <c r="H107" i="10" s="1"/>
  <c r="H108" i="10" s="1"/>
  <c r="H114" i="10" s="1"/>
  <c r="Q106" i="10"/>
  <c r="Q109" i="10" s="1"/>
  <c r="Q110" i="10" s="1"/>
  <c r="Q111" i="10" s="1"/>
  <c r="Q115" i="10" s="1"/>
  <c r="AD106" i="10"/>
  <c r="AD109" i="10" s="1"/>
  <c r="AD110" i="10" s="1"/>
  <c r="AD111" i="10" s="1"/>
  <c r="AD115" i="10" s="1"/>
  <c r="N55" i="2"/>
  <c r="Q59" i="2"/>
  <c r="O109" i="10" l="1"/>
  <c r="O110" i="10" s="1"/>
  <c r="O111" i="10" s="1"/>
  <c r="O115" i="10" s="1"/>
  <c r="O116" i="10" s="1"/>
  <c r="O50" i="2" s="1"/>
  <c r="Z109" i="10"/>
  <c r="Z110" i="10" s="1"/>
  <c r="Z111" i="10" s="1"/>
  <c r="Z115" i="10" s="1"/>
  <c r="Z116" i="10" s="1"/>
  <c r="Y50" i="2" s="1"/>
  <c r="S109" i="10"/>
  <c r="S110" i="10" s="1"/>
  <c r="S111" i="10" s="1"/>
  <c r="S115" i="10" s="1"/>
  <c r="S116" i="10" s="1"/>
  <c r="Q107" i="10"/>
  <c r="Q108" i="10" s="1"/>
  <c r="Q114" i="10" s="1"/>
  <c r="Q116" i="10" s="1"/>
  <c r="Y109" i="10"/>
  <c r="Y110" i="10" s="1"/>
  <c r="Y111" i="10" s="1"/>
  <c r="Y115" i="10" s="1"/>
  <c r="Y116" i="10" s="1"/>
  <c r="X50" i="2" s="1"/>
  <c r="I109" i="10"/>
  <c r="I110" i="10" s="1"/>
  <c r="I111" i="10" s="1"/>
  <c r="I115" i="10" s="1"/>
  <c r="I116" i="10" s="1"/>
  <c r="I50" i="2" s="1"/>
  <c r="L109" i="10"/>
  <c r="L110" i="10" s="1"/>
  <c r="L111" i="10" s="1"/>
  <c r="L115" i="10" s="1"/>
  <c r="L116" i="10" s="1"/>
  <c r="L50" i="2" s="1"/>
  <c r="AC107" i="10"/>
  <c r="AC108" i="10" s="1"/>
  <c r="AC114" i="10" s="1"/>
  <c r="AC116" i="10" s="1"/>
  <c r="AB50" i="2" s="1"/>
  <c r="U109" i="10"/>
  <c r="U110" i="10" s="1"/>
  <c r="U111" i="10" s="1"/>
  <c r="U115" i="10" s="1"/>
  <c r="U116" i="10" s="1"/>
  <c r="T50" i="2" s="1"/>
  <c r="T109" i="10"/>
  <c r="T110" i="10" s="1"/>
  <c r="T111" i="10" s="1"/>
  <c r="T115" i="10" s="1"/>
  <c r="T116" i="10" s="1"/>
  <c r="S50" i="2" s="1"/>
  <c r="K109" i="10"/>
  <c r="K110" i="10" s="1"/>
  <c r="K111" i="10" s="1"/>
  <c r="K115" i="10" s="1"/>
  <c r="K116" i="10" s="1"/>
  <c r="K50" i="2" s="1"/>
  <c r="J107" i="10"/>
  <c r="J108" i="10" s="1"/>
  <c r="J114" i="10" s="1"/>
  <c r="J116" i="10" s="1"/>
  <c r="J50" i="2" s="1"/>
  <c r="M107" i="10"/>
  <c r="M108" i="10" s="1"/>
  <c r="M114" i="10" s="1"/>
  <c r="M116" i="10" s="1"/>
  <c r="M50" i="2" s="1"/>
  <c r="AD107" i="10"/>
  <c r="AD108" i="10" s="1"/>
  <c r="AD114" i="10" s="1"/>
  <c r="AD116" i="10" s="1"/>
  <c r="AC50" i="2" s="1"/>
  <c r="W107" i="10"/>
  <c r="W108" i="10" s="1"/>
  <c r="W114" i="10" s="1"/>
  <c r="W116" i="10" s="1"/>
  <c r="V50" i="2" s="1"/>
  <c r="X107" i="10"/>
  <c r="X108" i="10" s="1"/>
  <c r="X114" i="10" s="1"/>
  <c r="X116" i="10" s="1"/>
  <c r="W50" i="2" s="1"/>
  <c r="AA107" i="10"/>
  <c r="AA108" i="10" s="1"/>
  <c r="AA114" i="10" s="1"/>
  <c r="AA116" i="10" s="1"/>
  <c r="Z50" i="2" s="1"/>
  <c r="V109" i="10"/>
  <c r="V110" i="10" s="1"/>
  <c r="V111" i="10" s="1"/>
  <c r="V115" i="10" s="1"/>
  <c r="V116" i="10" s="1"/>
  <c r="U50" i="2" s="1"/>
  <c r="AE109" i="10"/>
  <c r="AE110" i="10" s="1"/>
  <c r="AE111" i="10" s="1"/>
  <c r="AE115" i="10" s="1"/>
  <c r="AE116" i="10" s="1"/>
  <c r="AD50" i="2" s="1"/>
  <c r="AB109" i="10"/>
  <c r="AB110" i="10" s="1"/>
  <c r="AB111" i="10" s="1"/>
  <c r="AB115" i="10" s="1"/>
  <c r="AB116" i="10" s="1"/>
  <c r="AA50" i="2" s="1"/>
  <c r="H109" i="10"/>
  <c r="H110" i="10" s="1"/>
  <c r="H111" i="10" s="1"/>
  <c r="H115" i="10" s="1"/>
  <c r="H116" i="10" s="1"/>
  <c r="H50" i="2" s="1"/>
  <c r="N56" i="2"/>
  <c r="N57" i="2" l="1"/>
  <c r="Q50" i="2"/>
  <c r="N58"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<sst xmlns="http://schemas.openxmlformats.org/spreadsheetml/2006/main" count="660" uniqueCount="284">
  <si>
    <t>Mærsk Mc-Kinney Møller Center for Zero Carbon Shipping</t>
  </si>
  <si>
    <t>MTM Compliance Cost Calculator</t>
  </si>
  <si>
    <r>
      <rPr>
        <b/>
        <sz val="10"/>
        <color theme="0"/>
        <rFont val="Calibri"/>
        <family val="2"/>
        <scheme val="minor"/>
      </rPr>
      <t>Disclaimer</t>
    </r>
    <r>
      <rPr>
        <sz val="10"/>
        <color theme="0"/>
        <rFont val="Calibri"/>
        <family val="2"/>
        <scheme val="minor"/>
      </rPr>
      <t>: This calculator is meant to indicate potential costs but is not a price forecasting tool. It should not be taken as investment, financial, legal, tax, or accounting advice. Please evaluate assumptions before making decisions. This calculator is provided "as is" with no warranties, and the Fonden Mærsk Mc-Kinney Møller Center for Zero Carbon Shipping is not responsible for errors or damages arising from its use.</t>
    </r>
  </si>
  <si>
    <r>
      <rPr>
        <b/>
        <sz val="10"/>
        <color rgb="FF000000"/>
        <rFont val="Calibri"/>
        <family val="2"/>
      </rPr>
      <t>Purpose:</t>
    </r>
    <r>
      <rPr>
        <sz val="10"/>
        <color rgb="FF000000"/>
        <rFont val="Calibri"/>
        <family val="2"/>
      </rPr>
      <t xml:space="preserve"> This tool is for policymakers and the industry seeking a deeper understanding of the proposed IMO Mid-term measures (MTMs) and how proposed regulations translate into incentives to invest in sustainable alternatives- The tool allows users to assess the impacts of various proposed regulatory scenarios, including different emissions reduction trajectories, rewards for zero- and near-zero-emissions (ZNZ) fuels, variable levies, and emissions scope. In addition to policy parameters, users can input their assumptions regarding fuel costs and emissions factors, tailoring the analysis to their perspectives and needs. ZNZs have yet to be defined by IMO Member States but are generally considered fuels and energy sources able to meet the net-zero by 2050 target.</t>
    </r>
  </si>
  <si>
    <r>
      <rPr>
        <b/>
        <sz val="10"/>
        <color rgb="FF000000"/>
        <rFont val="Calibri"/>
        <family val="2"/>
      </rPr>
      <t xml:space="preserve">How to use the model: </t>
    </r>
    <r>
      <rPr>
        <sz val="10"/>
        <color rgb="FF000000"/>
        <rFont val="Calibri"/>
        <family val="2"/>
      </rPr>
      <t>Once MTMs come into force, commercial stakeholders will have different options for how to comply with the regulations. We defined four compliance strategies, aiming to represent different decisions that these stakeholders may make to minimize costs.The strategies are: 1) a base case using LSFO and the lowest cost between blending bio-diesel or paying the RU, 2) LNG and the lowest cost between blending bio-methane or paying the RU, 3) LSFO and the lowest cost between ZNZ and paying the remedial unit, and 4) using 100% ZNZ and then trading the surplus compliance. The tool allows us to compare these strategies, and how they are affected by different aspects of the MTMs. To evaluate the relative costs of the four strategeis, first set up the policy scenario, then set assumptions for the four compliance strategies. For many of these inputs, you can decide to use our standard assumptions or enter your own assumptions. Note that the four strategies are illustrative and not-exhaustive, furthermore, strategies can be combined by, for example, running a dual-fuel vessel on LSFO and bio-diesel, or an LNG vessel on ZNZ e-methane.</t>
    </r>
  </si>
  <si>
    <r>
      <rPr>
        <b/>
        <sz val="10"/>
        <color rgb="FF000000"/>
        <rFont val="Calibri"/>
        <family val="2"/>
      </rPr>
      <t>Logic for trading value:</t>
    </r>
    <r>
      <rPr>
        <sz val="10"/>
        <color rgb="FF000000"/>
        <rFont val="Calibri"/>
        <family val="2"/>
      </rPr>
      <t xml:space="preserve"> The Global Fuel Standard (GFS) may include 'flexible compliance options' that allow companies with surplus compliance to trade excess in a market. Here we assume that the price of the surplus compliance units will be based on the market cost of compliance, i.e., the lowest between four options a) remedial unit cost, b) bio-diesel blend cost, c) bio-methane blend cost, or d) ZNZ fuel cost. The tool allows the user to decide which options should be included in the calculation, based on whether there will be sufficient supply of ZNZ, bio-diesel, or bio-methane in the market to dictate the market price of surplus units. If it is assumed that there will not be sufficient surplus from bio or ZNZ fuels, the surplus units are priced at the RU.</t>
    </r>
  </si>
  <si>
    <t>Drop-downs</t>
  </si>
  <si>
    <r>
      <rPr>
        <b/>
        <sz val="10"/>
        <color theme="1"/>
        <rFont val="Calibri"/>
        <family val="2"/>
        <scheme val="minor"/>
      </rPr>
      <t>Note:</t>
    </r>
    <r>
      <rPr>
        <sz val="10"/>
        <color theme="1"/>
        <rFont val="Calibri"/>
        <family val="2"/>
        <scheme val="minor"/>
      </rPr>
      <t xml:space="preserve"> Costs are all shown in USD per equivalence to 1 tonne of LSFO, using an energy content (LCV) of LSFO allowing for comparison. Additional costs such as captial expenditure of vessels, and additional operating costs will factor into decision making but these will generally play a smaller role compared to fuel costs.</t>
    </r>
  </si>
  <si>
    <t>WtW</t>
  </si>
  <si>
    <t>EU Reference</t>
  </si>
  <si>
    <t>Yes</t>
  </si>
  <si>
    <t>Adjusted TtW</t>
  </si>
  <si>
    <t>IMO LCA</t>
  </si>
  <si>
    <t>Enter my own</t>
  </si>
  <si>
    <t>User input</t>
  </si>
  <si>
    <t>Results comparing strategies</t>
  </si>
  <si>
    <t>Base  (yearly)</t>
  </si>
  <si>
    <t>Policy scenario setup</t>
  </si>
  <si>
    <t>Notes/sources</t>
  </si>
  <si>
    <t>Striving (yearly)</t>
  </si>
  <si>
    <t>LSFO</t>
  </si>
  <si>
    <t>No</t>
  </si>
  <si>
    <t>Year for snapshot figures</t>
  </si>
  <si>
    <t>Year used for one-year figures for each strategy on the right</t>
  </si>
  <si>
    <t>Base (5-year)</t>
  </si>
  <si>
    <t>Bio-diesel</t>
  </si>
  <si>
    <t>Emissions scope</t>
  </si>
  <si>
    <t>Choose well-to-wake (WTW) or 'adjusted tank-to-wake (TTW)' according to the methodology submitted in proposal by Angola et al (ISWG-GHG 17-2-7 pg. 2-3)</t>
  </si>
  <si>
    <t>Striving (5-year)</t>
  </si>
  <si>
    <t>LNG (HP)</t>
  </si>
  <si>
    <t>Choose reference value source or enter your own</t>
  </si>
  <si>
    <t>Chose reference value source</t>
  </si>
  <si>
    <t>Levy Low ($18.75)</t>
  </si>
  <si>
    <t>LNG (LP)</t>
  </si>
  <si>
    <t>GHG intensity reference value for the GFS [gCO2e/MJ] -&gt;</t>
  </si>
  <si>
    <t>Levy Medium ($100)</t>
  </si>
  <si>
    <t>Bio-methane (HP)</t>
  </si>
  <si>
    <t>Levy High ($150)</t>
  </si>
  <si>
    <t>Bio-methane (LP)</t>
  </si>
  <si>
    <t>GFI target/requirement [gCO2e/MJ]</t>
  </si>
  <si>
    <t>No Levy ($0)</t>
  </si>
  <si>
    <t>ZNZ</t>
  </si>
  <si>
    <t>Choose target/requirement pathways or enter your own</t>
  </si>
  <si>
    <t>Based on lower ('base') and upper ('striving') bound of 2023 IMO GHG Strategy target range. The values were taken from the MEPC 82 Working Paper (MEPC82.WP9). Yearly or 5-year determines whether the target/requirements change every year or after 5 years.</t>
  </si>
  <si>
    <t>Reward Rate High (105% of cost gap)</t>
  </si>
  <si>
    <t>Reward Rate Base (90 to 60% of cost gap)</t>
  </si>
  <si>
    <t>Pick levy proposal or enter your own</t>
  </si>
  <si>
    <t>No Reward</t>
  </si>
  <si>
    <t>MMM LSFO</t>
  </si>
  <si>
    <t>Enter fixed price</t>
  </si>
  <si>
    <t>Set a Remedial Unit price [USD/tonne CO2e]</t>
  </si>
  <si>
    <t>MMM LNG</t>
  </si>
  <si>
    <t>Enter RU price for non-compliance [USD/tCO2e] -&gt;</t>
  </si>
  <si>
    <t>Price for each tonne of CO2e that is non-compliant, or above the GHG intensity target/requirement</t>
  </si>
  <si>
    <t>MMMCZCS analysis found a minimum 450 USD is needed to reach IMO targets</t>
  </si>
  <si>
    <t>LR/UMAS B100 - Avg Price</t>
  </si>
  <si>
    <t>ZNZ reward [USD/tonne CO2e]</t>
  </si>
  <si>
    <t>LR/UMAS B100 - Low Price</t>
  </si>
  <si>
    <t>Choose reward rate or enter your own</t>
  </si>
  <si>
    <t>Based on scenarios from the Comprehensive Impact Assessment of the MTMs on the global fleet (CIA) by DNV for MEPC 82. The reward is allocated per tonne of emissions reductions below the reference value. CIA scenarios use a reward set by the cost gap between bio-methane and e-ammonia and then calculate the value per tonne of CO2e using the emissions reduction between e-ammonia and MDO. A 90% to 60% reward rate covers a decreasing share of the cost gap between 2027 and 2045.</t>
  </si>
  <si>
    <t>LR/UMAS B100 - High Price</t>
  </si>
  <si>
    <t>Will the following energy sources be available in sufficient quantities to be able to set the surplus unit price?</t>
  </si>
  <si>
    <t>MMM Bio-methane Cost</t>
  </si>
  <si>
    <t>Will bio-diesel set surplus unit prices?</t>
  </si>
  <si>
    <t>We assume the cost of surplus units will be determined by the cheapest of four options 1) the RU, 2) the bio-diesel blend compliance cost, 3) bio-methane blend compliance cost, 4) the ZNZ compliance cost. Select no if you think there will be insufficient quantities of these fuels to exclude them from setting the price.</t>
  </si>
  <si>
    <t>Will bio-methane set surplus unit prices?</t>
  </si>
  <si>
    <t>Otto dual fuel (LP)</t>
  </si>
  <si>
    <t>Will ZNZs set surplus unit prices?</t>
  </si>
  <si>
    <t>Diesel dual fuel (HP)</t>
  </si>
  <si>
    <t>MMM ZNZ - Avg Cost</t>
  </si>
  <si>
    <t>Strategy 1: LSFO + bio-diesel</t>
  </si>
  <si>
    <t>Sources</t>
  </si>
  <si>
    <t>MMM ZNZ - Low Cost</t>
  </si>
  <si>
    <t>LSFO fuel costs [USD/tonne LSFO]</t>
  </si>
  <si>
    <t>MMM ZNZ - High Cost</t>
  </si>
  <si>
    <t>Use a MMMCZCS forecast or enter your own</t>
  </si>
  <si>
    <t>MMM Fuel Cost Calculator, 2024</t>
  </si>
  <si>
    <t>4. ZNZ: Fully ZNZ with Surplus Units</t>
  </si>
  <si>
    <t>Bio-diesel fuel costs [USD/tLSFOeq]</t>
  </si>
  <si>
    <t>Use a bio-diesel forecast from LR &amp; UMAS or enter your own (B100 = 100% bio-diesel)</t>
  </si>
  <si>
    <t>LR &amp; UMAS, 2020</t>
  </si>
  <si>
    <t>Strategy 2: LNG + bio-methane</t>
  </si>
  <si>
    <t>LNG engine type and fuel costs [USD/tLSFO-eq]</t>
  </si>
  <si>
    <t>Choose LNG engine type</t>
  </si>
  <si>
    <t xml:space="preserve">This determines the emissions factors due to variation in TTW slip on board the vessel. We use default slip values from the FuelEU Regulation for the two engine types. Otto low pressure (LP): 1.7% and Diesel high pressure (HP): 0.2%. LP is the engine of choice for LNG carriers, while the orderbook contains more HP engines, primarily used in non-LNG carriers. Note that the IMO will use its own methodology for certifying emissions, these two values provide a range. </t>
  </si>
  <si>
    <t>Tables for figures</t>
  </si>
  <si>
    <t>Use MMMCZCS forecast for fuel costs?</t>
  </si>
  <si>
    <t xml:space="preserve">Comparing MTM Compliance Strategies [USD/tLSFOeq] </t>
  </si>
  <si>
    <t>Strategy 1: LSFO + bio-diesel (base case)</t>
  </si>
  <si>
    <t>LNG: bio-methane fuel costs [USD/tLSFOeq]</t>
  </si>
  <si>
    <t>Choose between our Fuel Cost Calculator values, with increasing costs over time (due to feedstock cost constraints) or enter your own</t>
  </si>
  <si>
    <t>Strategy 3: LSFO + ZNZ</t>
  </si>
  <si>
    <t>Strategy 4: 100% ZNZ</t>
  </si>
  <si>
    <t>Strategies 3 &amp; 4: ZNZ</t>
  </si>
  <si>
    <t>Notes</t>
  </si>
  <si>
    <t>Set ZNZ marine fuel characteristics</t>
  </si>
  <si>
    <t>LSFO fuel</t>
  </si>
  <si>
    <t>LNG fuel</t>
  </si>
  <si>
    <t>ZNZ fuel</t>
  </si>
  <si>
    <t>Enter % reduction below the reference value</t>
  </si>
  <si>
    <t xml:space="preserve">Set a % reduction below the reference value which is in WTW or adjusted TTW units set above. </t>
  </si>
  <si>
    <t>GFS (Bio-diesel or RUs)</t>
  </si>
  <si>
    <t>GFS (Bio-methane or RUs)</t>
  </si>
  <si>
    <t>GFS (ZNZ or RUs)</t>
  </si>
  <si>
    <t>GFS (RUs)</t>
  </si>
  <si>
    <t xml:space="preserve">EF for the ZNZ fuel [gCO2e/MJ] </t>
  </si>
  <si>
    <t>Based on the reduction % above and the reference value</t>
  </si>
  <si>
    <t>Levy</t>
  </si>
  <si>
    <t>GFS Surplus</t>
  </si>
  <si>
    <t>Use MMMCZCS Fuel Cost Calculator or enter your own</t>
  </si>
  <si>
    <t>Here the costs are from our Fuel Cost Calculator. Note: the costs vary over time assuming learning curves, therefore, this mimics spot prices which are unlikely in the early years of production.</t>
  </si>
  <si>
    <t>Total S1</t>
  </si>
  <si>
    <t>ZNZ Reward</t>
  </si>
  <si>
    <t>Total S2</t>
  </si>
  <si>
    <t>Total S3</t>
  </si>
  <si>
    <t>Total S4</t>
  </si>
  <si>
    <t>User selected GHG reference values and emission factors</t>
  </si>
  <si>
    <t>User Input</t>
  </si>
  <si>
    <t>Calculation</t>
  </si>
  <si>
    <t>Units</t>
  </si>
  <si>
    <t>Reference</t>
  </si>
  <si>
    <t>GHG fuel intensity (GFI) reference</t>
  </si>
  <si>
    <t>WTW or TTW based on user input</t>
  </si>
  <si>
    <t>gCO2e/MJ</t>
  </si>
  <si>
    <t>WtW EF_actual x (TTW_ref / WTW_ref)</t>
  </si>
  <si>
    <t>Selected Emissions Factor</t>
  </si>
  <si>
    <t>User selected policy paramaters</t>
  </si>
  <si>
    <t>Parameters</t>
  </si>
  <si>
    <t>GFS Requirement</t>
  </si>
  <si>
    <t>Based on user input</t>
  </si>
  <si>
    <t>GFI reference x z-factor</t>
  </si>
  <si>
    <t>USD/tCO2e</t>
  </si>
  <si>
    <t>Reward Rate</t>
  </si>
  <si>
    <t>Remedial Unit</t>
  </si>
  <si>
    <t>Fuel cost calculations</t>
  </si>
  <si>
    <t>Fuel Costs</t>
  </si>
  <si>
    <t>User Input / Lookups</t>
  </si>
  <si>
    <t>LSFO Emissions Factor</t>
  </si>
  <si>
    <t>LSFO Emissions Factor (Converted)</t>
  </si>
  <si>
    <t>Convered to tonnes CO2e per GJ</t>
  </si>
  <si>
    <t>Emission factor / 1000</t>
  </si>
  <si>
    <t>tCO2e/GJ</t>
  </si>
  <si>
    <t>LSFO Emissions Deficit</t>
  </si>
  <si>
    <t>Target - LSFO actual (converted)</t>
  </si>
  <si>
    <t>tCO2e deficit/tLSFO</t>
  </si>
  <si>
    <t>LSFO Fuel Cost</t>
  </si>
  <si>
    <t>USD/GJ</t>
  </si>
  <si>
    <t>LSFO RU cost per tonne of LSFO</t>
  </si>
  <si>
    <t>Converted to cost per tonne of fuel</t>
  </si>
  <si>
    <t>Abatement cost / emissions per tonne of fuel</t>
  </si>
  <si>
    <t>USD/tLSFO</t>
  </si>
  <si>
    <t>LNG</t>
  </si>
  <si>
    <t>LNG Emissions Factor</t>
  </si>
  <si>
    <t>LNG Emissions Factor (Converted)</t>
  </si>
  <si>
    <t>LNG Emissions Deficit</t>
  </si>
  <si>
    <t>LNG actual - Target (converted)</t>
  </si>
  <si>
    <t>tCO2e deficit/tLSFOeq</t>
  </si>
  <si>
    <t>LNG Emissions Surplus</t>
  </si>
  <si>
    <t>Target - LNG actual (converted)</t>
  </si>
  <si>
    <t>tCO2e surplus/tLSFOeq</t>
  </si>
  <si>
    <t>LNG Fuel Cost</t>
  </si>
  <si>
    <t>LNG RU cost per tonne of LSFOeq</t>
  </si>
  <si>
    <t>USD/tLSFOeq</t>
  </si>
  <si>
    <t>Bio-diesel Emissions Factor</t>
  </si>
  <si>
    <t>Bio-diesel Emissions Factor (Converted)</t>
  </si>
  <si>
    <t>Bio-diesel Emissions Surplus/Deficit</t>
  </si>
  <si>
    <t>Target - Bio-diesel actual (converted)</t>
  </si>
  <si>
    <t>Bio-diesel Fuel Cost</t>
  </si>
  <si>
    <t>Bio-methane</t>
  </si>
  <si>
    <t>Bio-methane Emissions Factor</t>
  </si>
  <si>
    <t>Bio-methane Emissions Factor (Converted)</t>
  </si>
  <si>
    <t>Bio-methane Emissions Surplus/Deficit</t>
  </si>
  <si>
    <t>Target - Bio-methane actual (converted)</t>
  </si>
  <si>
    <t>Bio-methane Fuel Cost</t>
  </si>
  <si>
    <t>ZNZ Emission Factor</t>
  </si>
  <si>
    <t>ZNZ Emission Factor (Converted)</t>
  </si>
  <si>
    <t>ZNZ Emissions Deficit</t>
  </si>
  <si>
    <t>Target - ZNZ actual (converted)</t>
  </si>
  <si>
    <t>ZNZ Emissions Surplus</t>
  </si>
  <si>
    <t>ZNZ Fuel Cost</t>
  </si>
  <si>
    <t>Surplus Unit Value</t>
  </si>
  <si>
    <t>Abatement</t>
  </si>
  <si>
    <t>Abatement cost - Levy</t>
  </si>
  <si>
    <t/>
  </si>
  <si>
    <t>USD/tCO2e abatement</t>
  </si>
  <si>
    <t>Bio-diesel blend</t>
  </si>
  <si>
    <t>Bio-methane blend</t>
  </si>
  <si>
    <t>Cost to buy one remedial unit</t>
  </si>
  <si>
    <t>USD/tCO2e deficit</t>
  </si>
  <si>
    <t>Market price of surplus unit</t>
  </si>
  <si>
    <t>Minimum  abatement cost of RUs and other available compliance options</t>
  </si>
  <si>
    <t>USD/tonne of CO2e abatement</t>
  </si>
  <si>
    <t>Strategy 1: LSFO + Bio-diesel (base case)</t>
  </si>
  <si>
    <t>Bio-diesel cost premium</t>
  </si>
  <si>
    <t>Bio-diesel additional cost per GJ</t>
  </si>
  <si>
    <t>bio cost - LSFO cost</t>
  </si>
  <si>
    <t>Bio-diesel abatement per GJ</t>
  </si>
  <si>
    <t>bio EF - LSFO EF</t>
  </si>
  <si>
    <t>tCO2e abatement/GJ</t>
  </si>
  <si>
    <t>GFS Costs</t>
  </si>
  <si>
    <t>Bio-diesel blend abatement cost</t>
  </si>
  <si>
    <t>Additional cost per t of abatement</t>
  </si>
  <si>
    <t>Cost diff/EF diff</t>
  </si>
  <si>
    <t>Bio-diesel abatement cost minus levy savings</t>
  </si>
  <si>
    <t>Subtract avoided levy</t>
  </si>
  <si>
    <t>Remedial Unit cost</t>
  </si>
  <si>
    <t>Minimum compliance cost</t>
  </si>
  <si>
    <t>Lowest cost compliance cost</t>
  </si>
  <si>
    <t>Minimum</t>
  </si>
  <si>
    <t>Minimum compliance option</t>
  </si>
  <si>
    <t>Lowest cost compliance option</t>
  </si>
  <si>
    <t>GFS cost</t>
  </si>
  <si>
    <t>Lowest cost option converted</t>
  </si>
  <si>
    <t>Levy Costs</t>
  </si>
  <si>
    <t>Emission factor of fuel for GFS</t>
  </si>
  <si>
    <t>If RUs are cheapest, EF is the HFO</t>
  </si>
  <si>
    <t>Emissions factor of fuel for levy</t>
  </si>
  <si>
    <t>EF x LSFO LCV</t>
  </si>
  <si>
    <t>tCO2e/tLSFOeq</t>
  </si>
  <si>
    <t>Levy cost</t>
  </si>
  <si>
    <t>WtW emissions if not blending bio</t>
  </si>
  <si>
    <t>EF x Levy</t>
  </si>
  <si>
    <t>USD/t fuel</t>
  </si>
  <si>
    <t>Total Costs</t>
  </si>
  <si>
    <t>Cost per tonne of LSFO or equivalence</t>
  </si>
  <si>
    <t>Minimum between Bio-diesel and penalty</t>
  </si>
  <si>
    <t>fuel cost + compliance cost</t>
  </si>
  <si>
    <t>Strategy 2: LNG + Bio-methane</t>
  </si>
  <si>
    <t>Bio-methane cost premium</t>
  </si>
  <si>
    <t>Bio-methane additional cost per GJ</t>
  </si>
  <si>
    <t>Bio-methane abatement per GJ</t>
  </si>
  <si>
    <t>Bio-methane blend abatement cost</t>
  </si>
  <si>
    <t>Bio-methane abatement cost minus levy savings</t>
  </si>
  <si>
    <t>Surplus</t>
  </si>
  <si>
    <t>Surplus when LNG emissions factor is lower than GFI requirement</t>
  </si>
  <si>
    <t>Alt surplus x LSFO LCV</t>
  </si>
  <si>
    <t xml:space="preserve">Surplus value </t>
  </si>
  <si>
    <t>Surplus at the market value</t>
  </si>
  <si>
    <t>Abatement x surplus value</t>
  </si>
  <si>
    <t>USD/tLSFO-eq</t>
  </si>
  <si>
    <t>Cost per tonne of LNG or equivalence</t>
  </si>
  <si>
    <t>Minimum between Bio-methane and penalty</t>
  </si>
  <si>
    <t>ZNZ cost premium</t>
  </si>
  <si>
    <t>ZNZ additional cost per GJ</t>
  </si>
  <si>
    <t>ZNZ cost - LSFO cost</t>
  </si>
  <si>
    <t>ZNZ abatement per GJ</t>
  </si>
  <si>
    <t>ZNZ EF - LSFO EF</t>
  </si>
  <si>
    <t>Reward</t>
  </si>
  <si>
    <t>ZNZ abatement</t>
  </si>
  <si>
    <t>attained EF - LSFO EF</t>
  </si>
  <si>
    <t>ZNZ abatement (converted)</t>
  </si>
  <si>
    <t>abatement x LSFO LCV</t>
  </si>
  <si>
    <t>ZNZ reward</t>
  </si>
  <si>
    <t>Rewards are granted per tonne abatement by a ZNZ</t>
  </si>
  <si>
    <t>abatement x reward</t>
  </si>
  <si>
    <t>Minimum between ZNZ and penalty</t>
  </si>
  <si>
    <t>All deficits comply with RUs</t>
  </si>
  <si>
    <t>Cost of RUs</t>
  </si>
  <si>
    <t>Deficit x RU</t>
  </si>
  <si>
    <t>Surplus compliance</t>
  </si>
  <si>
    <t>GHG Reference values and emissions factors</t>
  </si>
  <si>
    <t>Lower Calorific Value</t>
  </si>
  <si>
    <t>MJ/g</t>
  </si>
  <si>
    <t>use LSFO-eq</t>
  </si>
  <si>
    <t>Source</t>
  </si>
  <si>
    <t>FuelEU (Proposed in 17-2-1)</t>
  </si>
  <si>
    <t>VLSFO Values from MEPC 81/16/Add.1, Annex 10, Appendix 2 (pg 49)</t>
  </si>
  <si>
    <t>FuelEU Annex II (FAME assumes the waste cooking oil pathway Default value in RED Annex III)</t>
  </si>
  <si>
    <t>FuelEU Annex II</t>
  </si>
  <si>
    <r>
      <rPr>
        <b/>
        <i/>
        <sz val="11"/>
        <color theme="1"/>
        <rFont val="Calibri"/>
        <family val="2"/>
        <scheme val="minor"/>
      </rPr>
      <t>Note:</t>
    </r>
    <r>
      <rPr>
        <i/>
        <sz val="11"/>
        <color theme="1"/>
        <rFont val="Calibri"/>
        <family val="2"/>
        <scheme val="minor"/>
      </rPr>
      <t xml:space="preserve"> Adj TtW according the the methodology submitted in proposal by Angola et al (ISWG-GHG 17-2-7 pg 2-3)</t>
    </r>
  </si>
  <si>
    <t>Policy Parameters</t>
  </si>
  <si>
    <t>Parameter</t>
  </si>
  <si>
    <t>units</t>
  </si>
  <si>
    <t>MEPC 82/WP.9 - Option 1 (Annex 1, pgs 16 -17)</t>
  </si>
  <si>
    <t>%</t>
  </si>
  <si>
    <t>MEPC 82/WP.9 - Option 2 (Annex 1, pg 17)</t>
  </si>
  <si>
    <t>ISWG-GHG 17-2-5 (Bahamas, Liberia, and ICS)</t>
  </si>
  <si>
    <t>USD/Tonne CO2eq (WTW)</t>
  </si>
  <si>
    <t>ISWG-GHG 18/2/5 (Austria et al.)</t>
  </si>
  <si>
    <t>CIA Fleet (DNV) Appendix C (table C-2)</t>
  </si>
  <si>
    <t>Fuel Cost Variables</t>
  </si>
  <si>
    <t>Variable</t>
  </si>
  <si>
    <t>MMMCZCS, 2024</t>
  </si>
  <si>
    <t>MMMCZCS, 2024 (forthcoming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</si>
</sst>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0"/>
      <color theme="1"/>
      <name val="Calibri"/>
      <family val="2"/>
      <scheme val="minor"/>
    </font>
    <font>
      <b/>
      <sz val="14"/>
      <color theme="0"/>
      <name val="Calibri"/>
      <family val="2"/>
      <scheme val="minor"/>
    </font>
    <font>
      <b/>
      <sz val="18"/>
      <color theme="0"/>
      <name val="Calibri Light"/>
      <family val="2"/>
      <scheme val="major"/>
    </font>
    <font>
      <sz val="9"/>
      <color theme="1"/>
      <name val="Calibri"/>
      <family val="2"/>
      <scheme val="minor"/>
    </font>
    <font>
      <sz val="12"/>
      <color theme="0"/>
      <name val="Calibri"/>
      <family val="2"/>
      <scheme val="minor"/>
    </font>
    <font>
      <sz val="18"/>
      <color theme="0"/>
      <name val="Calibri Light"/>
      <family val="2"/>
      <scheme val="major"/>
    </font>
    <font>
      <b/>
      <sz val="14"/>
      <color theme="1" tint="0.249977111117893"/>
      <name val="Calibri"/>
      <family val="2"/>
      <scheme val="minor"/>
    </font>
    <font>
      <b/>
      <sz val="11"/>
      <color rgb="FFB8E0C2"/>
      <name val="Calibri"/>
      <family val="2"/>
      <scheme val="minor"/>
    </font>
    <font>
      <i/>
      <sz val="11"/>
      <color theme="1"/>
      <name val="Calibri"/>
      <family val="2"/>
      <scheme val="minor"/>
    </font>
    <font>
      <i/>
      <sz val="12"/>
      <color theme="8" tint="-0.499984740745262"/>
      <name val="Calibri"/>
      <family val="2"/>
      <scheme val="minor"/>
    </font>
    <font>
      <i/>
      <sz val="12"/>
      <color rgb="FF4C7870"/>
      <name val="Calibri"/>
      <family val="2"/>
      <scheme val="minor"/>
    </font>
    <font>
      <sz val="9"/>
      <color theme="0"/>
      <name val="Calibri"/>
      <family val="2"/>
      <scheme val="minor"/>
    </font>
    <font>
      <i/>
      <sz val="11"/>
      <color rgb="FF4C7870"/>
      <name val="Calibri"/>
      <family val="2"/>
      <scheme val="minor"/>
    </font>
    <font>
      <sz val="8"/>
      <color theme="0"/>
      <name val="Calibri"/>
      <family val="2"/>
      <scheme val="minor"/>
    </font>
    <font>
      <u/>
      <sz val="11"/>
      <color rgb="FFB8E0C2"/>
      <name val="Calibri"/>
      <family val="2"/>
      <scheme val="minor"/>
    </font>
    <font>
      <i/>
      <sz val="10"/>
      <color rgb="FF4C7870"/>
      <name val="Calibri"/>
      <family val="2"/>
      <scheme val="minor"/>
    </font>
    <font>
      <i/>
      <sz val="11"/>
      <color rgb="FFFFC000"/>
      <name val="Calibri"/>
      <family val="2"/>
      <scheme val="minor"/>
    </font>
    <font>
      <sz val="11"/>
      <color theme="0" tint="-0.249977111117893"/>
      <name val="Calibri"/>
      <family val="2"/>
      <scheme val="minor"/>
    </font>
    <font>
      <b/>
      <i/>
      <sz val="11"/>
      <color theme="0"/>
      <name val="Calibri"/>
      <family val="2"/>
      <scheme val="minor"/>
    </font>
    <font>
      <sz val="11"/>
      <color theme="1"/>
      <name val="Aktiv Grotesk Light"/>
      <family val="2"/>
    </font>
    <font>
      <b/>
      <i/>
      <sz val="11"/>
      <color theme="1"/>
      <name val="Calibri"/>
      <family val="2"/>
      <scheme val="minor"/>
    </font>
    <font>
      <b/>
      <sz val="11"/>
      <color rgb="FF5E948A"/>
      <name val="Calibri"/>
      <family val="2"/>
      <scheme val="minor"/>
    </font>
    <font>
      <sz val="11"/>
      <color rgb="FF5E948A"/>
      <name val="Calibri"/>
      <family val="2"/>
      <scheme val="minor"/>
    </font>
    <font>
      <u/>
      <sz val="11"/>
      <color theme="1"/>
      <name val="Calibri"/>
      <family val="2"/>
      <scheme val="minor"/>
    </font>
    <font>
      <i/>
      <u/>
      <sz val="11"/>
      <color theme="1"/>
      <name val="Calibri"/>
      <family val="2"/>
      <scheme val="minor"/>
    </font>
    <font>
      <sz val="8"/>
      <name val="Calibri"/>
      <family val="2"/>
      <scheme val="minor"/>
    </font>
    <font>
      <sz val="11"/>
      <color rgb="FFC0000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b/>
      <sz val="10"/>
      <color theme="1"/>
      <name val="Calibri"/>
      <family val="2"/>
      <scheme val="minor"/>
    </font>
    <font>
      <b/>
      <sz val="20"/>
      <color theme="0"/>
      <name val="Calibri Light"/>
      <family val="2"/>
      <scheme val="major"/>
    </font>
    <font>
      <u/>
      <sz val="10"/>
      <color rgb="FFB8E0C2"/>
      <name val="Calibri"/>
      <family val="2"/>
      <scheme val="minor"/>
    </font>
    <font>
      <i/>
      <u/>
      <sz val="9"/>
      <color rgb="FFB8E0C2"/>
      <name val="Calibri"/>
      <family val="2"/>
      <scheme val="minor"/>
    </font>
    <font>
      <i/>
      <sz val="11"/>
      <color theme="0"/>
      <name val="Calibri"/>
      <family val="2"/>
      <scheme val="minor"/>
    </font>
    <font>
      <b/>
      <i/>
      <sz val="14"/>
      <color theme="0"/>
      <name val="Calibri"/>
      <family val="2"/>
      <scheme val="minor"/>
    </font>
    <font>
      <sz val="10"/>
      <color rgb="FF000000"/>
      <name val="Calibri"/>
      <family val="2"/>
    </font>
    <font>
      <b/>
      <sz val="10"/>
      <color rgb="FF000000"/>
      <name val="Calibri"/>
      <family val="2"/>
    </font>
    <font>
      <b/>
      <sz val="11"/>
      <color theme="0" tint="-0.249977111117893"/>
      <name val="Calibri"/>
      <family val="2"/>
      <scheme val="minor"/>
    </font>
    <font>
      <i/>
      <sz val="11"/>
      <color theme="0" tint="-0.249977111117893"/>
      <name val="Calibri"/>
      <family val="2"/>
      <scheme val="minor"/>
    </font>
    <font>
      <b/>
      <sz val="14"/>
      <color theme="0" tint="-0.249977111117893"/>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rgb="FF4C7870"/>
        <bgColor indexed="64"/>
      </patternFill>
    </fill>
    <fill>
      <patternFill patternType="solid">
        <fgColor rgb="FF3C5E86"/>
        <bgColor indexed="64"/>
      </patternFill>
    </fill>
    <fill>
      <patternFill patternType="solid">
        <fgColor rgb="FF5E948A"/>
        <bgColor indexed="64"/>
      </patternFill>
    </fill>
    <fill>
      <patternFill patternType="solid">
        <fgColor theme="8" tint="0.79998168889431442"/>
        <bgColor indexed="64"/>
      </patternFill>
    </fill>
    <fill>
      <patternFill patternType="solid">
        <fgColor rgb="FFBFD7D2"/>
        <bgColor indexed="64"/>
      </patternFill>
    </fill>
    <fill>
      <patternFill patternType="solid">
        <fgColor theme="1" tint="0.34998626667073579"/>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rgb="FF7F7F7F"/>
      </left>
      <right style="double">
        <color rgb="FF7F7F7F"/>
      </right>
      <top style="double">
        <color rgb="FF7F7F7F"/>
      </top>
      <bottom style="double">
        <color rgb="FF7F7F7F"/>
      </bottom>
      <diagonal/>
    </border>
    <border>
      <left style="double">
        <color rgb="FF7F7F7F"/>
      </left>
      <right/>
      <top/>
      <bottom/>
      <diagonal/>
    </border>
    <border>
      <left/>
      <right/>
      <top/>
      <bottom style="thin">
        <color auto="1"/>
      </bottom>
      <diagonal/>
    </border>
    <border>
      <left/>
      <right/>
      <top/>
      <bottom style="double">
        <color indexed="64"/>
      </bottom>
      <diagonal/>
    </border>
    <border>
      <left style="double">
        <color rgb="FF7F7F7F"/>
      </left>
      <right/>
      <top style="double">
        <color rgb="FF7F7F7F"/>
      </top>
      <bottom style="double">
        <color rgb="FF7F7F7F"/>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s>
  <cellStyleXfs count="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5" fillId="6" borderId="3" applyNumberFormat="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161">
    <xf numFmtId="0" fontId="0" fillId="0" borderId="0" xfId="0"/>
    <xf numFmtId="0" fontId="14" fillId="0" borderId="0" xfId="0" applyFont="1"/>
    <xf numFmtId="0" fontId="3" fillId="0" borderId="0" xfId="0" applyFont="1"/>
    <xf numFmtId="2" fontId="0" fillId="0" borderId="0" xfId="0" applyNumberFormat="1"/>
    <xf numFmtId="0" fontId="14" fillId="0" borderId="0" xfId="0" applyFont="1" applyAlignment="1">
      <alignment horizontal="right"/>
    </xf>
    <xf numFmtId="0" fontId="0" fillId="0" borderId="0" xfId="0" applyProtection="1">
      <protection locked="0"/>
    </xf>
    <xf numFmtId="0" fontId="7" fillId="4" borderId="0" xfId="0" applyFont="1" applyFill="1" applyAlignment="1" applyProtection="1">
      <alignment vertical="center" textRotation="90"/>
      <protection locked="0"/>
    </xf>
    <xf numFmtId="0" fontId="7" fillId="5" borderId="0" xfId="0" applyFont="1" applyFill="1" applyAlignment="1" applyProtection="1">
      <alignment vertical="center"/>
      <protection locked="0"/>
    </xf>
    <xf numFmtId="0" fontId="12" fillId="5" borderId="0" xfId="0" applyFont="1" applyFill="1" applyAlignment="1" applyProtection="1">
      <alignment vertical="center"/>
      <protection locked="0"/>
    </xf>
    <xf numFmtId="0" fontId="13" fillId="5" borderId="0" xfId="0" applyFont="1" applyFill="1" applyAlignment="1" applyProtection="1">
      <alignment vertical="center"/>
      <protection locked="0"/>
    </xf>
    <xf numFmtId="0" fontId="16" fillId="7" borderId="3" xfId="3" applyFont="1" applyFill="1" applyAlignment="1" applyProtection="1">
      <alignment horizontal="center" vertical="center"/>
      <protection locked="0"/>
    </xf>
    <xf numFmtId="2" fontId="16" fillId="7" borderId="3" xfId="1" applyNumberFormat="1"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16" fillId="7" borderId="3" xfId="1" applyNumberFormat="1" applyFont="1" applyFill="1" applyBorder="1" applyAlignment="1" applyProtection="1">
      <alignment horizontal="center" vertical="center"/>
      <protection locked="0"/>
    </xf>
    <xf numFmtId="1" fontId="16" fillId="7" borderId="3" xfId="1" applyNumberFormat="1" applyFont="1" applyFill="1" applyBorder="1" applyAlignment="1" applyProtection="1">
      <alignment horizontal="center" vertical="center"/>
      <protection locked="0"/>
    </xf>
    <xf numFmtId="0" fontId="21" fillId="7" borderId="3" xfId="3" applyFont="1" applyFill="1" applyAlignment="1" applyProtection="1">
      <alignment horizontal="center" vertical="center"/>
      <protection locked="0"/>
    </xf>
    <xf numFmtId="9" fontId="16" fillId="7" borderId="3" xfId="1" applyFont="1" applyFill="1" applyBorder="1" applyAlignment="1" applyProtection="1">
      <alignment horizontal="center" vertical="center"/>
      <protection locked="0"/>
    </xf>
    <xf numFmtId="0" fontId="20" fillId="3" borderId="0" xfId="2" applyFont="1" applyFill="1" applyAlignment="1" applyProtection="1">
      <alignment vertical="center"/>
      <protection locked="0"/>
    </xf>
    <xf numFmtId="0" fontId="0" fillId="3" borderId="0" xfId="0" applyFill="1" applyAlignment="1" applyProtection="1">
      <alignment horizontal="left" vertical="center"/>
      <protection locked="0"/>
    </xf>
    <xf numFmtId="0" fontId="0" fillId="3" borderId="0" xfId="0" applyFill="1" applyAlignment="1" applyProtection="1">
      <alignment vertical="center"/>
      <protection locked="0"/>
    </xf>
    <xf numFmtId="0" fontId="7" fillId="3" borderId="0" xfId="0" applyFont="1" applyFill="1" applyAlignment="1" applyProtection="1">
      <alignment vertical="center"/>
      <protection locked="0"/>
    </xf>
    <xf numFmtId="0" fontId="25"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29" fillId="0" borderId="0" xfId="4" applyFont="1" applyFill="1" applyBorder="1" applyAlignment="1" applyProtection="1">
      <alignment horizontal="left" vertical="center"/>
      <protection locked="0"/>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horizontal="left" vertical="center" wrapText="1"/>
      <protection locked="0"/>
    </xf>
    <xf numFmtId="0" fontId="14" fillId="0" borderId="0" xfId="0" applyFont="1" applyAlignment="1" applyProtection="1">
      <alignment horizontal="left" vertical="center"/>
      <protection locked="0"/>
    </xf>
    <xf numFmtId="0" fontId="30" fillId="0" borderId="0" xfId="4" applyFont="1" applyFill="1" applyBorder="1" applyAlignment="1" applyProtection="1">
      <alignment horizontal="left" vertical="center"/>
      <protection locked="0"/>
    </xf>
    <xf numFmtId="0" fontId="14" fillId="0" borderId="0" xfId="0" applyFont="1" applyAlignment="1">
      <alignment horizontal="left"/>
    </xf>
    <xf numFmtId="0" fontId="3" fillId="0" borderId="0" xfId="0" applyFont="1" applyAlignment="1" applyProtection="1">
      <alignment vertical="center"/>
      <protection locked="0"/>
    </xf>
    <xf numFmtId="1" fontId="3" fillId="0" borderId="0" xfId="0" applyNumberFormat="1" applyFont="1" applyAlignment="1" applyProtection="1">
      <alignment vertical="center"/>
      <protection locked="0"/>
    </xf>
    <xf numFmtId="2" fontId="0" fillId="0" borderId="0" xfId="0" applyNumberFormat="1" applyAlignment="1" applyProtection="1">
      <alignment vertical="center"/>
      <protection locked="0"/>
    </xf>
    <xf numFmtId="1" fontId="0" fillId="0" borderId="0" xfId="0" applyNumberFormat="1" applyAlignment="1" applyProtection="1">
      <alignment vertical="center"/>
      <protection locked="0"/>
    </xf>
    <xf numFmtId="2" fontId="0" fillId="0" borderId="5" xfId="0" applyNumberFormat="1" applyBorder="1" applyAlignment="1" applyProtection="1">
      <alignment vertical="center"/>
      <protection locked="0"/>
    </xf>
    <xf numFmtId="0" fontId="14" fillId="0" borderId="0" xfId="0" applyFont="1" applyAlignment="1" applyProtection="1">
      <alignment vertical="center"/>
      <protection locked="0"/>
    </xf>
    <xf numFmtId="0" fontId="26" fillId="0" borderId="0" xfId="0" applyFont="1" applyAlignment="1" applyProtection="1">
      <alignment vertical="center"/>
      <protection locked="0"/>
    </xf>
    <xf numFmtId="0" fontId="0" fillId="0" borderId="0" xfId="0" applyAlignment="1">
      <alignment horizontal="right"/>
    </xf>
    <xf numFmtId="0" fontId="0" fillId="0" borderId="0" xfId="0" applyAlignment="1">
      <alignment wrapText="1"/>
    </xf>
    <xf numFmtId="0" fontId="0" fillId="0" borderId="5" xfId="0" applyBorder="1" applyAlignment="1" applyProtection="1">
      <alignment horizontal="left" vertical="center"/>
      <protection locked="0"/>
    </xf>
    <xf numFmtId="0" fontId="0" fillId="0" borderId="0" xfId="0" applyAlignment="1">
      <alignment vertical="center"/>
    </xf>
    <xf numFmtId="0" fontId="14" fillId="0" borderId="0" xfId="0" applyFont="1" applyAlignment="1">
      <alignment horizontal="left" vertical="center"/>
    </xf>
    <xf numFmtId="0" fontId="14" fillId="0" borderId="5" xfId="0" applyFont="1" applyBorder="1" applyAlignment="1" applyProtection="1">
      <alignment horizontal="left" vertical="center"/>
      <protection locked="0"/>
    </xf>
    <xf numFmtId="0" fontId="0" fillId="0" borderId="5" xfId="0" applyBorder="1" applyAlignment="1">
      <alignment vertical="center"/>
    </xf>
    <xf numFmtId="164" fontId="0" fillId="0" borderId="5" xfId="0" applyNumberFormat="1" applyBorder="1" applyAlignment="1" applyProtection="1">
      <alignment vertical="center"/>
      <protection locked="0"/>
    </xf>
    <xf numFmtId="0" fontId="0" fillId="2" borderId="0" xfId="0" applyFill="1" applyAlignment="1" applyProtection="1">
      <alignment horizontal="left" vertical="center"/>
      <protection locked="0"/>
    </xf>
    <xf numFmtId="0" fontId="14" fillId="2" borderId="0" xfId="0" applyFont="1" applyFill="1" applyAlignment="1" applyProtection="1">
      <alignment horizontal="left" vertical="center"/>
      <protection locked="0"/>
    </xf>
    <xf numFmtId="2" fontId="0" fillId="2" borderId="0" xfId="0" applyNumberFormat="1" applyFill="1" applyAlignment="1" applyProtection="1">
      <alignment vertical="center"/>
      <protection locked="0"/>
    </xf>
    <xf numFmtId="0" fontId="30" fillId="0" borderId="0" xfId="4" applyFont="1" applyFill="1" applyBorder="1" applyAlignment="1" applyProtection="1">
      <alignment vertical="center"/>
      <protection locked="0"/>
    </xf>
    <xf numFmtId="2" fontId="0" fillId="0" borderId="0" xfId="0" applyNumberFormat="1" applyAlignment="1">
      <alignment vertical="center"/>
    </xf>
    <xf numFmtId="0" fontId="3" fillId="0" borderId="2" xfId="0" applyFont="1" applyBorder="1" applyAlignment="1">
      <alignment vertical="center"/>
    </xf>
    <xf numFmtId="0" fontId="26" fillId="0" borderId="2" xfId="0" applyFont="1" applyBorder="1" applyAlignment="1" applyProtection="1">
      <alignment horizontal="left" vertical="center"/>
      <protection locked="0"/>
    </xf>
    <xf numFmtId="0" fontId="3" fillId="0" borderId="2" xfId="0" applyFont="1" applyBorder="1" applyAlignment="1" applyProtection="1">
      <alignment vertical="center"/>
      <protection locked="0"/>
    </xf>
    <xf numFmtId="0" fontId="30" fillId="2" borderId="0" xfId="4" applyFont="1" applyFill="1" applyBorder="1" applyAlignment="1" applyProtection="1">
      <alignment vertical="center"/>
      <protection locked="0"/>
    </xf>
    <xf numFmtId="0" fontId="0" fillId="2" borderId="0" xfId="0" applyFill="1" applyAlignment="1" applyProtection="1">
      <alignment vertical="center"/>
      <protection locked="0"/>
    </xf>
    <xf numFmtId="0" fontId="14" fillId="0" borderId="0" xfId="0" applyFont="1" applyAlignment="1">
      <alignment vertical="center"/>
    </xf>
    <xf numFmtId="0" fontId="30" fillId="0" borderId="5" xfId="4" applyFont="1" applyFill="1" applyBorder="1" applyAlignment="1" applyProtection="1">
      <alignment vertical="center"/>
      <protection locked="0"/>
    </xf>
    <xf numFmtId="0" fontId="14" fillId="0" borderId="5" xfId="0" applyFont="1" applyBorder="1" applyAlignment="1">
      <alignment vertical="center"/>
    </xf>
    <xf numFmtId="2" fontId="0" fillId="0" borderId="5" xfId="0" applyNumberFormat="1" applyBorder="1" applyAlignment="1">
      <alignment vertical="center"/>
    </xf>
    <xf numFmtId="0" fontId="0" fillId="0" borderId="5" xfId="0" applyBorder="1" applyAlignment="1" applyProtection="1">
      <alignment vertical="center"/>
      <protection locked="0"/>
    </xf>
    <xf numFmtId="0" fontId="3" fillId="0" borderId="2" xfId="0" applyFont="1" applyBorder="1" applyAlignment="1" applyProtection="1">
      <alignment horizontal="left" vertical="center"/>
      <protection locked="0"/>
    </xf>
    <xf numFmtId="0" fontId="3" fillId="0" borderId="2" xfId="0" applyFont="1" applyBorder="1" applyAlignment="1" applyProtection="1">
      <alignment horizontal="left" vertical="center" wrapText="1"/>
      <protection locked="0"/>
    </xf>
    <xf numFmtId="2" fontId="3" fillId="0" borderId="0" xfId="0" quotePrefix="1" applyNumberFormat="1" applyFont="1" applyProtection="1">
      <protection locked="0"/>
    </xf>
    <xf numFmtId="2" fontId="0" fillId="0" borderId="0" xfId="0" quotePrefix="1" applyNumberFormat="1" applyAlignment="1" applyProtection="1">
      <alignment vertical="center"/>
      <protection locked="0"/>
    </xf>
    <xf numFmtId="0" fontId="14" fillId="2" borderId="1" xfId="0" applyFont="1" applyFill="1" applyBorder="1" applyAlignment="1" applyProtection="1">
      <alignment vertical="center"/>
      <protection locked="0"/>
    </xf>
    <xf numFmtId="0" fontId="26" fillId="0" borderId="2" xfId="0" applyFont="1" applyBorder="1" applyAlignment="1" applyProtection="1">
      <alignment horizontal="left" vertical="center" wrapText="1"/>
      <protection locked="0"/>
    </xf>
    <xf numFmtId="0" fontId="14" fillId="0" borderId="0" xfId="0" applyFont="1" applyAlignment="1" applyProtection="1">
      <alignment horizontal="left"/>
      <protection locked="0"/>
    </xf>
    <xf numFmtId="0" fontId="30" fillId="0" borderId="0" xfId="4" applyFont="1" applyFill="1" applyAlignment="1" applyProtection="1">
      <alignment horizontal="left" vertical="center"/>
      <protection locked="0"/>
    </xf>
    <xf numFmtId="0" fontId="14" fillId="2" borderId="0" xfId="0" applyFont="1" applyFill="1" applyAlignment="1" applyProtection="1">
      <alignment vertical="center"/>
      <protection locked="0"/>
    </xf>
    <xf numFmtId="0" fontId="26" fillId="0" borderId="0" xfId="0" applyFont="1" applyAlignment="1" applyProtection="1">
      <alignment horizontal="left" vertical="center"/>
      <protection locked="0"/>
    </xf>
    <xf numFmtId="0" fontId="32" fillId="0" borderId="0" xfId="0" applyFont="1"/>
    <xf numFmtId="0" fontId="14" fillId="0" borderId="1" xfId="0" applyFont="1" applyBorder="1"/>
    <xf numFmtId="1" fontId="14" fillId="0" borderId="0" xfId="0" applyNumberFormat="1" applyFont="1" applyAlignment="1">
      <alignment horizontal="right"/>
    </xf>
    <xf numFmtId="0" fontId="17" fillId="3" borderId="0" xfId="0" applyFont="1" applyFill="1" applyAlignment="1" applyProtection="1">
      <alignment horizontal="left" vertical="center" wrapText="1"/>
      <protection locked="0"/>
    </xf>
    <xf numFmtId="0" fontId="16" fillId="7" borderId="7" xfId="3" applyFont="1" applyFill="1" applyBorder="1" applyAlignment="1" applyProtection="1">
      <alignment horizontal="center" vertical="center"/>
      <protection locked="0"/>
    </xf>
    <xf numFmtId="2" fontId="16" fillId="7" borderId="7" xfId="1" applyNumberFormat="1" applyFont="1" applyFill="1" applyBorder="1" applyAlignment="1" applyProtection="1">
      <alignment horizontal="center" vertical="center"/>
      <protection locked="0"/>
    </xf>
    <xf numFmtId="0" fontId="23" fillId="0" borderId="0" xfId="0" applyFont="1" applyAlignment="1" applyProtection="1">
      <alignment vertical="center"/>
      <protection locked="0"/>
    </xf>
    <xf numFmtId="0" fontId="11" fillId="3" borderId="0" xfId="0" applyFont="1" applyFill="1" applyAlignment="1" applyProtection="1">
      <alignment vertical="center"/>
      <protection locked="0"/>
    </xf>
    <xf numFmtId="0" fontId="33" fillId="3" borderId="0" xfId="0" applyFont="1" applyFill="1" applyAlignment="1" applyProtection="1">
      <alignment vertical="center"/>
      <protection locked="0"/>
    </xf>
    <xf numFmtId="0" fontId="34" fillId="3" borderId="0" xfId="0" applyFont="1" applyFill="1" applyAlignment="1" applyProtection="1">
      <alignment vertical="center"/>
      <protection locked="0"/>
    </xf>
    <xf numFmtId="0" fontId="35" fillId="3" borderId="0" xfId="0" applyFont="1" applyFill="1" applyAlignment="1" applyProtection="1">
      <alignment vertical="center"/>
      <protection locked="0"/>
    </xf>
    <xf numFmtId="0" fontId="4" fillId="3" borderId="0" xfId="0" applyFont="1" applyFill="1" applyAlignment="1" applyProtection="1">
      <alignment vertical="center"/>
      <protection locked="0"/>
    </xf>
    <xf numFmtId="0" fontId="9" fillId="0" borderId="0" xfId="0" applyFont="1" applyAlignment="1" applyProtection="1">
      <alignment vertical="center"/>
      <protection locked="0"/>
    </xf>
    <xf numFmtId="0" fontId="28" fillId="0" borderId="0" xfId="0" applyFont="1" applyAlignment="1" applyProtection="1">
      <alignment vertical="center"/>
      <protection locked="0"/>
    </xf>
    <xf numFmtId="0" fontId="27" fillId="0" borderId="0" xfId="0" applyFont="1" applyAlignment="1" applyProtection="1">
      <alignment vertical="center"/>
      <protection locked="0"/>
    </xf>
    <xf numFmtId="0" fontId="28" fillId="0" borderId="1" xfId="0" applyFont="1" applyBorder="1" applyAlignment="1" applyProtection="1">
      <alignment vertical="center"/>
      <protection locked="0"/>
    </xf>
    <xf numFmtId="0" fontId="22" fillId="3" borderId="0" xfId="0" applyFont="1" applyFill="1" applyAlignment="1" applyProtection="1">
      <alignment vertical="center"/>
      <protection locked="0"/>
    </xf>
    <xf numFmtId="0" fontId="10" fillId="3" borderId="0" xfId="0" applyFont="1" applyFill="1" applyAlignment="1" applyProtection="1">
      <alignment horizontal="center" vertical="center" wrapText="1"/>
      <protection locked="0"/>
    </xf>
    <xf numFmtId="0" fontId="7" fillId="4" borderId="0" xfId="0" applyFont="1" applyFill="1" applyAlignment="1" applyProtection="1">
      <alignment vertical="center"/>
      <protection locked="0"/>
    </xf>
    <xf numFmtId="0" fontId="3" fillId="8" borderId="0" xfId="0" applyFont="1" applyFill="1" applyAlignment="1" applyProtection="1">
      <alignment vertical="center"/>
      <protection locked="0"/>
    </xf>
    <xf numFmtId="0" fontId="2" fillId="5" borderId="0" xfId="0" applyFont="1" applyFill="1" applyAlignment="1" applyProtection="1">
      <alignment vertical="center"/>
      <protection locked="0"/>
    </xf>
    <xf numFmtId="0" fontId="8" fillId="5" borderId="0" xfId="0" applyFont="1" applyFill="1" applyAlignment="1" applyProtection="1">
      <alignment vertical="center"/>
      <protection locked="0"/>
    </xf>
    <xf numFmtId="0" fontId="0" fillId="8" borderId="0" xfId="0" applyFill="1" applyAlignment="1" applyProtection="1">
      <alignment vertical="center"/>
      <protection locked="0"/>
    </xf>
    <xf numFmtId="0" fontId="2" fillId="8" borderId="0" xfId="0" applyFont="1" applyFill="1" applyAlignment="1" applyProtection="1">
      <alignment vertical="center"/>
      <protection locked="0"/>
    </xf>
    <xf numFmtId="0" fontId="6" fillId="8" borderId="0" xfId="0" applyFont="1" applyFill="1" applyAlignment="1" applyProtection="1">
      <alignment horizontal="center" vertical="center"/>
      <protection locked="0"/>
    </xf>
    <xf numFmtId="1" fontId="3" fillId="0" borderId="0" xfId="0" applyNumberFormat="1" applyFont="1"/>
    <xf numFmtId="1" fontId="3" fillId="0" borderId="6" xfId="0" applyNumberFormat="1" applyFont="1" applyBorder="1"/>
    <xf numFmtId="0" fontId="37" fillId="5" borderId="0" xfId="0" applyFont="1" applyFill="1" applyAlignment="1" applyProtection="1">
      <alignment vertical="center"/>
      <protection locked="0"/>
    </xf>
    <xf numFmtId="0" fontId="3" fillId="0" borderId="0" xfId="0" applyFont="1" applyAlignment="1" applyProtection="1">
      <alignment horizontal="left" vertical="center" wrapText="1"/>
      <protection locked="0"/>
    </xf>
    <xf numFmtId="0" fontId="34" fillId="3" borderId="0" xfId="0" applyFont="1" applyFill="1" applyAlignment="1" applyProtection="1">
      <alignment vertical="center" wrapText="1"/>
      <protection locked="0"/>
    </xf>
    <xf numFmtId="0" fontId="38" fillId="3" borderId="0" xfId="2" applyFont="1" applyFill="1" applyAlignment="1" applyProtection="1">
      <alignment vertical="center"/>
      <protection locked="0"/>
    </xf>
    <xf numFmtId="0" fontId="39" fillId="3" borderId="0" xfId="2" applyFont="1" applyFill="1" applyAlignment="1" applyProtection="1">
      <alignment vertical="center"/>
      <protection locked="0"/>
    </xf>
    <xf numFmtId="0" fontId="11" fillId="4" borderId="0" xfId="0" applyFont="1" applyFill="1" applyAlignment="1" applyProtection="1">
      <alignment vertical="center"/>
      <protection locked="0"/>
    </xf>
    <xf numFmtId="0" fontId="0" fillId="4" borderId="0" xfId="0" applyFill="1" applyAlignment="1" applyProtection="1">
      <alignment vertical="center"/>
      <protection locked="0"/>
    </xf>
    <xf numFmtId="0" fontId="23" fillId="4" borderId="0" xfId="0" applyFont="1" applyFill="1" applyAlignment="1" applyProtection="1">
      <alignment vertical="center"/>
      <protection locked="0"/>
    </xf>
    <xf numFmtId="0" fontId="4" fillId="4" borderId="0" xfId="0" applyFont="1" applyFill="1" applyAlignment="1" applyProtection="1">
      <alignment vertical="center"/>
      <protection locked="0"/>
    </xf>
    <xf numFmtId="0" fontId="40" fillId="4" borderId="0" xfId="0" applyFont="1" applyFill="1" applyAlignment="1" applyProtection="1">
      <alignment vertical="center"/>
      <protection locked="0"/>
    </xf>
    <xf numFmtId="0" fontId="24" fillId="4" borderId="0" xfId="0" applyFont="1" applyFill="1" applyAlignment="1" applyProtection="1">
      <alignment vertical="center"/>
      <protection locked="0"/>
    </xf>
    <xf numFmtId="0" fontId="40" fillId="4" borderId="0" xfId="0" applyFont="1" applyFill="1" applyAlignment="1" applyProtection="1">
      <alignment horizontal="left" vertical="center"/>
      <protection locked="0"/>
    </xf>
    <xf numFmtId="0" fontId="24" fillId="4" borderId="0" xfId="0" applyFont="1" applyFill="1" applyAlignment="1" applyProtection="1">
      <alignment horizontal="left" vertical="center"/>
      <protection locked="0"/>
    </xf>
    <xf numFmtId="0" fontId="41" fillId="4" borderId="0" xfId="0" applyFont="1" applyFill="1" applyAlignment="1" applyProtection="1">
      <alignment vertical="center"/>
      <protection locked="0"/>
    </xf>
    <xf numFmtId="0" fontId="40" fillId="4" borderId="0" xfId="0" quotePrefix="1" applyFont="1" applyFill="1" applyAlignment="1" applyProtection="1">
      <alignment vertical="center"/>
      <protection locked="0"/>
    </xf>
    <xf numFmtId="0" fontId="40" fillId="4" borderId="0" xfId="0" applyFont="1" applyFill="1"/>
    <xf numFmtId="0" fontId="18" fillId="7" borderId="3" xfId="3" applyFont="1" applyFill="1" applyAlignment="1" applyProtection="1">
      <alignment horizontal="center" vertical="center" wrapText="1"/>
      <protection locked="0"/>
    </xf>
    <xf numFmtId="0" fontId="3" fillId="0" borderId="0" xfId="0" applyFont="1" applyAlignment="1">
      <alignment horizontal="right"/>
    </xf>
    <xf numFmtId="0" fontId="11" fillId="4" borderId="0" xfId="0" applyFont="1" applyFill="1" applyProtection="1">
      <protection locked="0"/>
    </xf>
    <xf numFmtId="0" fontId="30" fillId="2" borderId="0" xfId="4" applyFont="1" applyFill="1" applyAlignment="1" applyProtection="1">
      <alignment horizontal="left" vertical="center"/>
      <protection locked="0"/>
    </xf>
    <xf numFmtId="2" fontId="0" fillId="2" borderId="0" xfId="0" quotePrefix="1" applyNumberFormat="1" applyFill="1" applyAlignment="1" applyProtection="1">
      <alignment vertical="center"/>
      <protection locked="0"/>
    </xf>
    <xf numFmtId="0" fontId="14" fillId="9" borderId="1" xfId="0" applyFont="1" applyFill="1" applyBorder="1" applyAlignment="1" applyProtection="1">
      <alignment vertical="center"/>
      <protection locked="0"/>
    </xf>
    <xf numFmtId="0" fontId="14" fillId="9" borderId="8" xfId="0" applyFont="1" applyFill="1" applyBorder="1" applyAlignment="1" applyProtection="1">
      <alignment vertical="center"/>
      <protection locked="0"/>
    </xf>
    <xf numFmtId="0" fontId="0" fillId="0" borderId="5" xfId="0" quotePrefix="1" applyBorder="1" applyAlignment="1" applyProtection="1">
      <alignment vertical="center"/>
      <protection locked="0"/>
    </xf>
    <xf numFmtId="0" fontId="14" fillId="0" borderId="5" xfId="0" quotePrefix="1" applyFont="1" applyBorder="1" applyAlignment="1" applyProtection="1">
      <alignment vertical="center"/>
      <protection locked="0"/>
    </xf>
    <xf numFmtId="0" fontId="14" fillId="0" borderId="5" xfId="0" applyFont="1" applyBorder="1" applyAlignment="1" applyProtection="1">
      <alignment vertical="center"/>
      <protection locked="0"/>
    </xf>
    <xf numFmtId="2" fontId="0" fillId="0" borderId="5" xfId="0" quotePrefix="1" applyNumberFormat="1" applyBorder="1" applyAlignment="1" applyProtection="1">
      <alignment vertical="center"/>
      <protection locked="0"/>
    </xf>
    <xf numFmtId="0" fontId="14" fillId="2" borderId="8" xfId="0" applyFont="1" applyFill="1" applyBorder="1" applyAlignment="1" applyProtection="1">
      <alignment vertical="center"/>
      <protection locked="0"/>
    </xf>
    <xf numFmtId="0" fontId="3" fillId="0" borderId="0" xfId="0" applyFont="1" applyAlignment="1" applyProtection="1">
      <alignment horizontal="right" vertical="center"/>
      <protection locked="0"/>
    </xf>
    <xf numFmtId="0" fontId="3" fillId="2" borderId="0" xfId="0" applyFont="1" applyFill="1" applyAlignment="1" applyProtection="1">
      <alignment vertical="center"/>
      <protection locked="0"/>
    </xf>
    <xf numFmtId="0" fontId="26" fillId="2" borderId="0" xfId="0" applyFont="1" applyFill="1" applyAlignment="1" applyProtection="1">
      <alignment vertical="center"/>
      <protection locked="0"/>
    </xf>
    <xf numFmtId="0" fontId="26" fillId="2" borderId="0" xfId="0" applyFont="1" applyFill="1" applyAlignment="1" applyProtection="1">
      <alignment horizontal="left" vertical="center"/>
      <protection locked="0"/>
    </xf>
    <xf numFmtId="1" fontId="3" fillId="2" borderId="0" xfId="0" applyNumberFormat="1" applyFont="1" applyFill="1" applyAlignment="1" applyProtection="1">
      <alignment vertical="center"/>
      <protection locked="0"/>
    </xf>
    <xf numFmtId="1" fontId="3" fillId="2" borderId="6" xfId="0" applyNumberFormat="1" applyFont="1" applyFill="1" applyBorder="1" applyAlignment="1" applyProtection="1">
      <alignment vertical="center"/>
      <protection locked="0"/>
    </xf>
    <xf numFmtId="0" fontId="3" fillId="2" borderId="0" xfId="0" quotePrefix="1" applyFont="1" applyFill="1" applyAlignment="1" applyProtection="1">
      <alignment vertical="center"/>
      <protection locked="0"/>
    </xf>
    <xf numFmtId="0" fontId="3" fillId="0" borderId="6" xfId="0" applyFont="1" applyBorder="1" applyAlignment="1" applyProtection="1">
      <alignment vertical="center"/>
      <protection locked="0"/>
    </xf>
    <xf numFmtId="0" fontId="26" fillId="0" borderId="6" xfId="0" applyFont="1" applyBorder="1" applyAlignment="1" applyProtection="1">
      <alignment vertical="center"/>
      <protection locked="0"/>
    </xf>
    <xf numFmtId="0" fontId="26" fillId="0" borderId="6" xfId="0" applyFont="1" applyBorder="1" applyAlignment="1" applyProtection="1">
      <alignment horizontal="left" vertical="center"/>
      <protection locked="0"/>
    </xf>
    <xf numFmtId="1" fontId="3" fillId="0" borderId="6" xfId="0" applyNumberFormat="1" applyFont="1" applyBorder="1" applyAlignment="1" applyProtection="1">
      <alignment vertical="center"/>
      <protection locked="0"/>
    </xf>
    <xf numFmtId="0" fontId="14" fillId="9" borderId="1" xfId="0" applyFont="1" applyFill="1" applyBorder="1" applyProtection="1">
      <protection locked="0"/>
    </xf>
    <xf numFmtId="0" fontId="3" fillId="0" borderId="0" xfId="0" quotePrefix="1" applyFont="1" applyAlignment="1" applyProtection="1">
      <alignment vertical="center"/>
      <protection locked="0"/>
    </xf>
    <xf numFmtId="0" fontId="3" fillId="2" borderId="6" xfId="0" applyFont="1" applyFill="1" applyBorder="1" applyAlignment="1" applyProtection="1">
      <alignment vertical="center"/>
      <protection locked="0"/>
    </xf>
    <xf numFmtId="0" fontId="26" fillId="2" borderId="6" xfId="0" applyFont="1" applyFill="1" applyBorder="1" applyAlignment="1" applyProtection="1">
      <alignment vertical="center"/>
      <protection locked="0"/>
    </xf>
    <xf numFmtId="0" fontId="26" fillId="2" borderId="6" xfId="0" applyFont="1" applyFill="1" applyBorder="1" applyAlignment="1" applyProtection="1">
      <alignment horizontal="left" vertical="center"/>
      <protection locked="0"/>
    </xf>
    <xf numFmtId="0" fontId="3" fillId="0" borderId="6" xfId="0" quotePrefix="1" applyFont="1" applyBorder="1" applyAlignment="1" applyProtection="1">
      <alignment vertical="center"/>
      <protection locked="0"/>
    </xf>
    <xf numFmtId="0" fontId="26" fillId="0" borderId="6" xfId="0" quotePrefix="1" applyFont="1" applyBorder="1" applyAlignment="1" applyProtection="1">
      <alignment vertical="center"/>
      <protection locked="0"/>
    </xf>
    <xf numFmtId="0" fontId="14" fillId="0" borderId="6" xfId="0" applyFont="1" applyBorder="1" applyAlignment="1" applyProtection="1">
      <alignment vertical="center"/>
      <protection locked="0"/>
    </xf>
    <xf numFmtId="0" fontId="14" fillId="0" borderId="6" xfId="0" applyFont="1" applyBorder="1" applyAlignment="1" applyProtection="1">
      <alignment horizontal="left" vertical="center"/>
      <protection locked="0"/>
    </xf>
    <xf numFmtId="1" fontId="3" fillId="2" borderId="0" xfId="0" applyNumberFormat="1" applyFont="1" applyFill="1"/>
    <xf numFmtId="0" fontId="26" fillId="2" borderId="0" xfId="0" quotePrefix="1" applyFont="1" applyFill="1" applyAlignment="1" applyProtection="1">
      <alignment vertical="center"/>
      <protection locked="0"/>
    </xf>
    <xf numFmtId="0" fontId="14" fillId="2" borderId="0" xfId="0" applyFont="1" applyFill="1"/>
    <xf numFmtId="0" fontId="44" fillId="4" borderId="0" xfId="0" applyFont="1" applyFill="1" applyProtection="1">
      <protection locked="0"/>
    </xf>
    <xf numFmtId="0" fontId="45" fillId="4" borderId="0" xfId="0" applyFont="1" applyFill="1" applyAlignment="1" applyProtection="1">
      <alignment vertical="center"/>
      <protection locked="0"/>
    </xf>
    <xf numFmtId="0" fontId="46" fillId="4" borderId="0" xfId="0" applyFont="1" applyFill="1" applyAlignment="1" applyProtection="1">
      <alignment vertical="center"/>
      <protection locked="0"/>
    </xf>
    <xf numFmtId="1" fontId="40" fillId="4" borderId="9" xfId="0" applyNumberFormat="1" applyFont="1" applyFill="1" applyBorder="1" applyAlignment="1" applyProtection="1">
      <alignment vertical="center"/>
      <protection locked="0"/>
    </xf>
    <xf numFmtId="1" fontId="40" fillId="4" borderId="10" xfId="0" applyNumberFormat="1" applyFont="1" applyFill="1" applyBorder="1" applyAlignment="1" applyProtection="1">
      <alignment vertical="center"/>
      <protection locked="0"/>
    </xf>
    <xf numFmtId="1" fontId="40" fillId="4" borderId="11" xfId="0" applyNumberFormat="1" applyFont="1" applyFill="1" applyBorder="1" applyAlignment="1" applyProtection="1">
      <alignment vertical="center"/>
      <protection locked="0"/>
    </xf>
    <xf numFmtId="0" fontId="17" fillId="3" borderId="0" xfId="0" applyFont="1" applyFill="1" applyAlignment="1" applyProtection="1">
      <alignment horizontal="left" vertical="center" wrapText="1"/>
      <protection locked="0"/>
    </xf>
    <xf numFmtId="0" fontId="19" fillId="3" borderId="4" xfId="0" applyFont="1" applyFill="1" applyBorder="1" applyAlignment="1" applyProtection="1">
      <alignment horizontal="left" vertical="center" wrapText="1"/>
      <protection locked="0"/>
    </xf>
    <xf numFmtId="0" fontId="19" fillId="3" borderId="0" xfId="0" applyFont="1" applyFill="1" applyAlignment="1" applyProtection="1">
      <alignment horizontal="left" vertical="center" wrapText="1"/>
      <protection locked="0"/>
    </xf>
    <xf numFmtId="0" fontId="17" fillId="3" borderId="4" xfId="0" applyFont="1" applyFill="1" applyBorder="1" applyAlignment="1" applyProtection="1">
      <alignment horizontal="left" vertical="center" wrapText="1"/>
      <protection locked="0"/>
    </xf>
    <xf numFmtId="0" fontId="42" fillId="0" borderId="0" xfId="0" applyFont="1" applyAlignment="1" applyProtection="1">
      <alignment horizontal="left" vertical="center" wrapText="1"/>
      <protection locked="0"/>
    </xf>
    <xf numFmtId="0" fontId="35" fillId="0" borderId="0" xfId="0" applyFont="1" applyAlignment="1" applyProtection="1">
      <alignment horizontal="left" vertical="center" wrapText="1"/>
      <protection locked="0"/>
    </xf>
    <xf numFmtId="0" fontId="34" fillId="8" borderId="0" xfId="0" applyFont="1" applyFill="1" applyAlignment="1" applyProtection="1">
      <alignment horizontal="left" vertical="center" wrapText="1"/>
      <protection locked="0"/>
    </xf>
  </cellXfs>
  <cellStyles count="6">
    <cellStyle name="Hyperlink" xfId="2" builtinId="8"/>
    <cellStyle name="Hyperlink 2" xfId="4" xr:uid="{CD965EF4-3A21-427B-BBC0-1F1A7D7382B6}"/>
    <cellStyle name="Input 2" xfId="3" xr:uid="{F855FEC2-D0D6-446C-A8B4-F862DBFFFACF}"/>
    <cellStyle name="Normal" xfId="0" builtinId="0"/>
    <cellStyle name="Percent" xfId="1" builtinId="5"/>
    <cellStyle name="Percent 2" xfId="5" xr:uid="{F568A3B3-3F12-46BE-8105-C1FE9F1B80E2}"/>
  </cellStyles>
  <dxfs count="8">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dxf>
  </dxfs>
  <tableStyles count="0" defaultTableStyle="TableStyleMedium2" defaultPivotStyle="PivotStyleLight16"/>
  <colors>
    <mruColors>
      <color rgb="FFF7BE4B"/>
      <color rgb="FF3C5E86"/>
      <color rgb="FFA3C5BF"/>
      <color rgb="FFFAD690"/>
      <color rgb="FFB15B5B"/>
      <color rgb="FF5E948A"/>
      <color rgb="FFC28080"/>
      <color rgb="FF823E3E"/>
      <color rgb="FF683232"/>
      <color rgb="FFFAC8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r>
              <a:rPr lang="en-US"/>
              <a:t>Comparing MTM compliance strategies [USD/tLSFOeq] </a:t>
            </a:r>
          </a:p>
        </c:rich>
      </c:tx>
      <c:layout>
        <c:manualLayout>
          <c:xMode val="edge"/>
          <c:yMode val="edge"/>
          <c:x val="0.24375690229985003"/>
          <c:y val="8.4921185314884551E-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6.2885727195856764E-2"/>
          <c:y val="0.12085078991832149"/>
          <c:w val="0.90412248790049565"/>
          <c:h val="0.78538791372071526"/>
        </c:manualLayout>
      </c:layout>
      <c:lineChart>
        <c:grouping val="standard"/>
        <c:varyColors val="0"/>
        <c:ser>
          <c:idx val="0"/>
          <c:order val="0"/>
          <c:tx>
            <c:strRef>
              <c:f>'CCC Summary'!$G$48</c:f>
              <c:strCache>
                <c:ptCount val="1"/>
                <c:pt idx="0">
                  <c:v>Strategy 1: LSFO + bio-diesel (base case)</c:v>
                </c:pt>
              </c:strCache>
            </c:strRef>
          </c:tx>
          <c:spPr>
            <a:ln w="38100" cap="rnd">
              <a:solidFill>
                <a:schemeClr val="tx1"/>
              </a:solidFill>
              <a:round/>
            </a:ln>
            <a:effectLst/>
          </c:spPr>
          <c:marker>
            <c:symbol val="none"/>
          </c:marker>
          <c:cat>
            <c:numRef>
              <c:f>'CCC Summary'!$H$47:$AD$47</c:f>
              <c:numCache>
                <c:formatCode>General</c:formatCode>
                <c:ptCount val="23"/>
                <c:pt idx="0">
                  <c:v>2027</c:v>
                </c:pt>
                <c:pt idx="1">
                  <c:v>2028</c:v>
                </c:pt>
                <c:pt idx="2">
                  <c:v>2029</c:v>
                </c:pt>
                <c:pt idx="3">
                  <c:v>2030</c:v>
                </c:pt>
                <c:pt idx="4">
                  <c:v>2031</c:v>
                </c:pt>
                <c:pt idx="5">
                  <c:v>2032</c:v>
                </c:pt>
                <c:pt idx="6">
                  <c:v>2033</c:v>
                </c:pt>
                <c:pt idx="7">
                  <c:v>2034</c:v>
                </c:pt>
                <c:pt idx="8">
                  <c:v>2035</c:v>
                </c:pt>
                <c:pt idx="9">
                  <c:v>2036</c:v>
                </c:pt>
                <c:pt idx="10">
                  <c:v>2037</c:v>
                </c:pt>
                <c:pt idx="11">
                  <c:v>2039</c:v>
                </c:pt>
                <c:pt idx="12">
                  <c:v>2040</c:v>
                </c:pt>
                <c:pt idx="13">
                  <c:v>2041</c:v>
                </c:pt>
                <c:pt idx="14">
                  <c:v>2042</c:v>
                </c:pt>
                <c:pt idx="15">
                  <c:v>2043</c:v>
                </c:pt>
                <c:pt idx="16">
                  <c:v>2044</c:v>
                </c:pt>
                <c:pt idx="17">
                  <c:v>2045</c:v>
                </c:pt>
                <c:pt idx="18">
                  <c:v>2046</c:v>
                </c:pt>
                <c:pt idx="19">
                  <c:v>2047</c:v>
                </c:pt>
                <c:pt idx="20">
                  <c:v>2048</c:v>
                </c:pt>
                <c:pt idx="21">
                  <c:v>2049</c:v>
                </c:pt>
                <c:pt idx="22">
                  <c:v>2050</c:v>
                </c:pt>
              </c:numCache>
            </c:numRef>
          </c:cat>
          <c:val>
            <c:numRef>
              <c:f>'CCC Summary'!$H$48:$AD$48</c:f>
              <c:numCache>
                <c:formatCode>0</c:formatCode>
                <c:ptCount val="23"/>
                <c:pt idx="0">
                  <c:v>691.90122196459345</c:v>
                </c:pt>
                <c:pt idx="1">
                  <c:v>709.72785238728386</c:v>
                </c:pt>
                <c:pt idx="2">
                  <c:v>718.71422652048739</c:v>
                </c:pt>
                <c:pt idx="3">
                  <c:v>746.94069474566675</c:v>
                </c:pt>
                <c:pt idx="4">
                  <c:v>811.68078266469058</c:v>
                </c:pt>
                <c:pt idx="5">
                  <c:v>889.29524948129188</c:v>
                </c:pt>
                <c:pt idx="6">
                  <c:v>974.48004653041232</c:v>
                </c:pt>
                <c:pt idx="7">
                  <c:v>1067.2351738120512</c:v>
                </c:pt>
                <c:pt idx="8">
                  <c:v>1160.5360530628511</c:v>
                </c:pt>
                <c:pt idx="9">
                  <c:v>1272.5089453996793</c:v>
                </c:pt>
                <c:pt idx="10">
                  <c:v>1392.4650950726182</c:v>
                </c:pt>
                <c:pt idx="11">
                  <c:v>1656.3271664268289</c:v>
                </c:pt>
                <c:pt idx="12">
                  <c:v>1800.2330881081004</c:v>
                </c:pt>
                <c:pt idx="13">
                  <c:v>1899.5699587166523</c:v>
                </c:pt>
                <c:pt idx="14">
                  <c:v>2002.868963200146</c:v>
                </c:pt>
                <c:pt idx="15">
                  <c:v>2110.1301015585818</c:v>
                </c:pt>
                <c:pt idx="16">
                  <c:v>2221.3533737919583</c:v>
                </c:pt>
                <c:pt idx="17">
                  <c:v>2336.5387799002774</c:v>
                </c:pt>
                <c:pt idx="18">
                  <c:v>2453.5538660007278</c:v>
                </c:pt>
                <c:pt idx="19">
                  <c:v>2574.4032752059607</c:v>
                </c:pt>
                <c:pt idx="20">
                  <c:v>2699.0870075159769</c:v>
                </c:pt>
                <c:pt idx="21">
                  <c:v>2807.5826633559036</c:v>
                </c:pt>
                <c:pt idx="22">
                  <c:v>2876.6754781950081</c:v>
                </c:pt>
              </c:numCache>
            </c:numRef>
          </c:val>
          <c:smooth val="0"/>
          <c:extLst>
            <c:ext xmlns:c16="http://schemas.microsoft.com/office/drawing/2014/chart" uri="{C3380CC4-5D6E-409C-BE32-E72D297353CC}">
              <c16:uniqueId val="{00000000-9731-47CE-BF2F-978AEE5741D1}"/>
            </c:ext>
          </c:extLst>
        </c:ser>
        <c:ser>
          <c:idx val="1"/>
          <c:order val="1"/>
          <c:tx>
            <c:strRef>
              <c:f>'CCC Summary'!$G$49</c:f>
              <c:strCache>
                <c:ptCount val="1"/>
                <c:pt idx="0">
                  <c:v>Strategy 2: LNG + bio-methane</c:v>
                </c:pt>
              </c:strCache>
            </c:strRef>
          </c:tx>
          <c:spPr>
            <a:ln w="38100" cap="rnd">
              <a:solidFill>
                <a:schemeClr val="bg1">
                  <a:lumMod val="65000"/>
                </a:schemeClr>
              </a:solidFill>
              <a:round/>
            </a:ln>
            <a:effectLst/>
          </c:spPr>
          <c:marker>
            <c:symbol val="none"/>
          </c:marker>
          <c:cat>
            <c:numRef>
              <c:f>'CCC Summary'!$H$47:$AD$47</c:f>
              <c:numCache>
                <c:formatCode>General</c:formatCode>
                <c:ptCount val="23"/>
                <c:pt idx="0">
                  <c:v>2027</c:v>
                </c:pt>
                <c:pt idx="1">
                  <c:v>2028</c:v>
                </c:pt>
                <c:pt idx="2">
                  <c:v>2029</c:v>
                </c:pt>
                <c:pt idx="3">
                  <c:v>2030</c:v>
                </c:pt>
                <c:pt idx="4">
                  <c:v>2031</c:v>
                </c:pt>
                <c:pt idx="5">
                  <c:v>2032</c:v>
                </c:pt>
                <c:pt idx="6">
                  <c:v>2033</c:v>
                </c:pt>
                <c:pt idx="7">
                  <c:v>2034</c:v>
                </c:pt>
                <c:pt idx="8">
                  <c:v>2035</c:v>
                </c:pt>
                <c:pt idx="9">
                  <c:v>2036</c:v>
                </c:pt>
                <c:pt idx="10">
                  <c:v>2037</c:v>
                </c:pt>
                <c:pt idx="11">
                  <c:v>2039</c:v>
                </c:pt>
                <c:pt idx="12">
                  <c:v>2040</c:v>
                </c:pt>
                <c:pt idx="13">
                  <c:v>2041</c:v>
                </c:pt>
                <c:pt idx="14">
                  <c:v>2042</c:v>
                </c:pt>
                <c:pt idx="15">
                  <c:v>2043</c:v>
                </c:pt>
                <c:pt idx="16">
                  <c:v>2044</c:v>
                </c:pt>
                <c:pt idx="17">
                  <c:v>2045</c:v>
                </c:pt>
                <c:pt idx="18">
                  <c:v>2046</c:v>
                </c:pt>
                <c:pt idx="19">
                  <c:v>2047</c:v>
                </c:pt>
                <c:pt idx="20">
                  <c:v>2048</c:v>
                </c:pt>
                <c:pt idx="21">
                  <c:v>2049</c:v>
                </c:pt>
                <c:pt idx="22">
                  <c:v>2050</c:v>
                </c:pt>
              </c:numCache>
            </c:numRef>
          </c:cat>
          <c:val>
            <c:numRef>
              <c:f>'CCC Summary'!$H$49:$AD$49</c:f>
              <c:numCache>
                <c:formatCode>0</c:formatCode>
                <c:ptCount val="23"/>
                <c:pt idx="0">
                  <c:v>518.84352752879317</c:v>
                </c:pt>
                <c:pt idx="1">
                  <c:v>493.7955826942341</c:v>
                </c:pt>
                <c:pt idx="2">
                  <c:v>459.90738157018791</c:v>
                </c:pt>
                <c:pt idx="3">
                  <c:v>445.25927453811266</c:v>
                </c:pt>
                <c:pt idx="4">
                  <c:v>496.5204323946441</c:v>
                </c:pt>
                <c:pt idx="5">
                  <c:v>578.97701929265747</c:v>
                </c:pt>
                <c:pt idx="6">
                  <c:v>679.97582817982197</c:v>
                </c:pt>
                <c:pt idx="7">
                  <c:v>785.91947936513827</c:v>
                </c:pt>
                <c:pt idx="8">
                  <c:v>887.18947088204084</c:v>
                </c:pt>
                <c:pt idx="9">
                  <c:v>1010.9256952348644</c:v>
                </c:pt>
                <c:pt idx="10">
                  <c:v>1141.1262152785553</c:v>
                </c:pt>
                <c:pt idx="11">
                  <c:v>1420.1558154850345</c:v>
                </c:pt>
                <c:pt idx="12">
                  <c:v>1568.7484034872441</c:v>
                </c:pt>
                <c:pt idx="13">
                  <c:v>1669.8734628064383</c:v>
                </c:pt>
                <c:pt idx="14">
                  <c:v>1767.8131271272184</c:v>
                </c:pt>
                <c:pt idx="15">
                  <c:v>1838.232982883035</c:v>
                </c:pt>
                <c:pt idx="16">
                  <c:v>1908.6528386388516</c:v>
                </c:pt>
                <c:pt idx="17">
                  <c:v>1979.0726943946677</c:v>
                </c:pt>
                <c:pt idx="18">
                  <c:v>2047.3184986232843</c:v>
                </c:pt>
                <c:pt idx="19">
                  <c:v>2115.5643028519007</c:v>
                </c:pt>
                <c:pt idx="20">
                  <c:v>2183.8101070805174</c:v>
                </c:pt>
                <c:pt idx="21">
                  <c:v>2252.0559113091344</c:v>
                </c:pt>
                <c:pt idx="22">
                  <c:v>2320.3017155377511</c:v>
                </c:pt>
              </c:numCache>
            </c:numRef>
          </c:val>
          <c:smooth val="0"/>
          <c:extLst>
            <c:ext xmlns:c16="http://schemas.microsoft.com/office/drawing/2014/chart" uri="{C3380CC4-5D6E-409C-BE32-E72D297353CC}">
              <c16:uniqueId val="{00000001-9731-47CE-BF2F-978AEE5741D1}"/>
            </c:ext>
          </c:extLst>
        </c:ser>
        <c:ser>
          <c:idx val="2"/>
          <c:order val="2"/>
          <c:tx>
            <c:strRef>
              <c:f>'CCC Summary'!$G$50</c:f>
              <c:strCache>
                <c:ptCount val="1"/>
                <c:pt idx="0">
                  <c:v>Strategy 3: LSFO + ZNZ</c:v>
                </c:pt>
              </c:strCache>
            </c:strRef>
          </c:tx>
          <c:spPr>
            <a:ln w="38100" cap="rnd">
              <a:solidFill>
                <a:srgbClr val="5E948A"/>
              </a:solidFill>
              <a:prstDash val="sysDash"/>
              <a:round/>
            </a:ln>
            <a:effectLst/>
          </c:spPr>
          <c:marker>
            <c:symbol val="none"/>
          </c:marker>
          <c:cat>
            <c:numRef>
              <c:f>'CCC Summary'!$H$47:$AD$47</c:f>
              <c:numCache>
                <c:formatCode>General</c:formatCode>
                <c:ptCount val="23"/>
                <c:pt idx="0">
                  <c:v>2027</c:v>
                </c:pt>
                <c:pt idx="1">
                  <c:v>2028</c:v>
                </c:pt>
                <c:pt idx="2">
                  <c:v>2029</c:v>
                </c:pt>
                <c:pt idx="3">
                  <c:v>2030</c:v>
                </c:pt>
                <c:pt idx="4">
                  <c:v>2031</c:v>
                </c:pt>
                <c:pt idx="5">
                  <c:v>2032</c:v>
                </c:pt>
                <c:pt idx="6">
                  <c:v>2033</c:v>
                </c:pt>
                <c:pt idx="7">
                  <c:v>2034</c:v>
                </c:pt>
                <c:pt idx="8">
                  <c:v>2035</c:v>
                </c:pt>
                <c:pt idx="9">
                  <c:v>2036</c:v>
                </c:pt>
                <c:pt idx="10">
                  <c:v>2037</c:v>
                </c:pt>
                <c:pt idx="11">
                  <c:v>2039</c:v>
                </c:pt>
                <c:pt idx="12">
                  <c:v>2040</c:v>
                </c:pt>
                <c:pt idx="13">
                  <c:v>2041</c:v>
                </c:pt>
                <c:pt idx="14">
                  <c:v>2042</c:v>
                </c:pt>
                <c:pt idx="15">
                  <c:v>2043</c:v>
                </c:pt>
                <c:pt idx="16">
                  <c:v>2044</c:v>
                </c:pt>
                <c:pt idx="17">
                  <c:v>2045</c:v>
                </c:pt>
                <c:pt idx="18">
                  <c:v>2046</c:v>
                </c:pt>
                <c:pt idx="19">
                  <c:v>2047</c:v>
                </c:pt>
                <c:pt idx="20">
                  <c:v>2048</c:v>
                </c:pt>
                <c:pt idx="21">
                  <c:v>2049</c:v>
                </c:pt>
                <c:pt idx="22">
                  <c:v>2050</c:v>
                </c:pt>
              </c:numCache>
            </c:numRef>
          </c:cat>
          <c:val>
            <c:numRef>
              <c:f>'CCC Summary'!$H$50:$AD$50</c:f>
              <c:numCache>
                <c:formatCode>0</c:formatCode>
                <c:ptCount val="23"/>
                <c:pt idx="0">
                  <c:v>702.21922502604252</c:v>
                </c:pt>
                <c:pt idx="1">
                  <c:v>727.82927062850445</c:v>
                </c:pt>
                <c:pt idx="2">
                  <c:v>736.82205529777923</c:v>
                </c:pt>
                <c:pt idx="3">
                  <c:v>764.650678974681</c:v>
                </c:pt>
                <c:pt idx="4">
                  <c:v>825.07032572068897</c:v>
                </c:pt>
                <c:pt idx="5">
                  <c:v>891.53193714129782</c:v>
                </c:pt>
                <c:pt idx="6">
                  <c:v>957.99354856190678</c:v>
                </c:pt>
                <c:pt idx="7">
                  <c:v>1024.4551599825154</c:v>
                </c:pt>
                <c:pt idx="8">
                  <c:v>1084.8748067285235</c:v>
                </c:pt>
                <c:pt idx="9">
                  <c:v>1154.9615969538931</c:v>
                </c:pt>
                <c:pt idx="10">
                  <c:v>1225.0483871792624</c:v>
                </c:pt>
                <c:pt idx="11">
                  <c:v>1365.221967630001</c:v>
                </c:pt>
                <c:pt idx="12">
                  <c:v>1435.3087578553705</c:v>
                </c:pt>
                <c:pt idx="13">
                  <c:v>1472.7689388378953</c:v>
                </c:pt>
                <c:pt idx="14">
                  <c:v>1510.2291198204205</c:v>
                </c:pt>
                <c:pt idx="15">
                  <c:v>1547.6893008029454</c:v>
                </c:pt>
                <c:pt idx="16">
                  <c:v>1585.1494817854705</c:v>
                </c:pt>
                <c:pt idx="17">
                  <c:v>1622.6096627679956</c:v>
                </c:pt>
                <c:pt idx="18">
                  <c:v>1658.8614508156002</c:v>
                </c:pt>
                <c:pt idx="19">
                  <c:v>1695.113238863205</c:v>
                </c:pt>
                <c:pt idx="20">
                  <c:v>1731.36502691081</c:v>
                </c:pt>
                <c:pt idx="21">
                  <c:v>1767.6168149584146</c:v>
                </c:pt>
                <c:pt idx="22">
                  <c:v>1803.8686030060196</c:v>
                </c:pt>
              </c:numCache>
            </c:numRef>
          </c:val>
          <c:smooth val="0"/>
          <c:extLst>
            <c:ext xmlns:c16="http://schemas.microsoft.com/office/drawing/2014/chart" uri="{C3380CC4-5D6E-409C-BE32-E72D297353CC}">
              <c16:uniqueId val="{00000002-9731-47CE-BF2F-978AEE5741D1}"/>
            </c:ext>
          </c:extLst>
        </c:ser>
        <c:ser>
          <c:idx val="3"/>
          <c:order val="3"/>
          <c:tx>
            <c:strRef>
              <c:f>'CCC Summary'!$G$51</c:f>
              <c:strCache>
                <c:ptCount val="1"/>
                <c:pt idx="0">
                  <c:v>Strategy 4: 100% ZNZ</c:v>
                </c:pt>
              </c:strCache>
            </c:strRef>
          </c:tx>
          <c:spPr>
            <a:ln w="38100" cap="rnd">
              <a:solidFill>
                <a:srgbClr val="5E948A"/>
              </a:solidFill>
              <a:round/>
            </a:ln>
            <a:effectLst/>
          </c:spPr>
          <c:marker>
            <c:symbol val="none"/>
          </c:marker>
          <c:cat>
            <c:numRef>
              <c:f>'CCC Summary'!$H$47:$AD$47</c:f>
              <c:numCache>
                <c:formatCode>General</c:formatCode>
                <c:ptCount val="23"/>
                <c:pt idx="0">
                  <c:v>2027</c:v>
                </c:pt>
                <c:pt idx="1">
                  <c:v>2028</c:v>
                </c:pt>
                <c:pt idx="2">
                  <c:v>2029</c:v>
                </c:pt>
                <c:pt idx="3">
                  <c:v>2030</c:v>
                </c:pt>
                <c:pt idx="4">
                  <c:v>2031</c:v>
                </c:pt>
                <c:pt idx="5">
                  <c:v>2032</c:v>
                </c:pt>
                <c:pt idx="6">
                  <c:v>2033</c:v>
                </c:pt>
                <c:pt idx="7">
                  <c:v>2034</c:v>
                </c:pt>
                <c:pt idx="8">
                  <c:v>2035</c:v>
                </c:pt>
                <c:pt idx="9">
                  <c:v>2036</c:v>
                </c:pt>
                <c:pt idx="10">
                  <c:v>2037</c:v>
                </c:pt>
                <c:pt idx="11">
                  <c:v>2039</c:v>
                </c:pt>
                <c:pt idx="12">
                  <c:v>2040</c:v>
                </c:pt>
                <c:pt idx="13">
                  <c:v>2041</c:v>
                </c:pt>
                <c:pt idx="14">
                  <c:v>2042</c:v>
                </c:pt>
                <c:pt idx="15">
                  <c:v>2043</c:v>
                </c:pt>
                <c:pt idx="16">
                  <c:v>2044</c:v>
                </c:pt>
                <c:pt idx="17">
                  <c:v>2045</c:v>
                </c:pt>
                <c:pt idx="18">
                  <c:v>2046</c:v>
                </c:pt>
                <c:pt idx="19">
                  <c:v>2047</c:v>
                </c:pt>
                <c:pt idx="20">
                  <c:v>2048</c:v>
                </c:pt>
                <c:pt idx="21">
                  <c:v>2049</c:v>
                </c:pt>
                <c:pt idx="22">
                  <c:v>2050</c:v>
                </c:pt>
              </c:numCache>
            </c:numRef>
          </c:cat>
          <c:val>
            <c:numRef>
              <c:f>'CCC Summary'!$H$51:$AD$51</c:f>
              <c:numCache>
                <c:formatCode>0</c:formatCode>
                <c:ptCount val="23"/>
                <c:pt idx="0">
                  <c:v>1001.4413138080627</c:v>
                </c:pt>
                <c:pt idx="1">
                  <c:v>960.36287418879829</c:v>
                </c:pt>
                <c:pt idx="2">
                  <c:v>910.44417828004748</c:v>
                </c:pt>
                <c:pt idx="3">
                  <c:v>879.76557646327296</c:v>
                </c:pt>
                <c:pt idx="4">
                  <c:v>882.56659884350552</c:v>
                </c:pt>
                <c:pt idx="5">
                  <c:v>898.24200012131564</c:v>
                </c:pt>
                <c:pt idx="6">
                  <c:v>921.48773163164446</c:v>
                </c:pt>
                <c:pt idx="7">
                  <c:v>952.30379337449244</c:v>
                </c:pt>
                <c:pt idx="8">
                  <c:v>983.66560708650115</c:v>
                </c:pt>
                <c:pt idx="9">
                  <c:v>1033.6994338845379</c:v>
                </c:pt>
                <c:pt idx="10">
                  <c:v>1091.7165180186853</c:v>
                </c:pt>
                <c:pt idx="11">
                  <c:v>1231.7004582953134</c:v>
                </c:pt>
                <c:pt idx="12">
                  <c:v>1313.6673144377937</c:v>
                </c:pt>
                <c:pt idx="13">
                  <c:v>1355.4893384746108</c:v>
                </c:pt>
                <c:pt idx="14">
                  <c:v>1401.27349638637</c:v>
                </c:pt>
                <c:pt idx="15">
                  <c:v>1451.0197881730705</c:v>
                </c:pt>
                <c:pt idx="16">
                  <c:v>1504.728213834713</c:v>
                </c:pt>
                <c:pt idx="17">
                  <c:v>1562.3987733712966</c:v>
                </c:pt>
                <c:pt idx="18">
                  <c:v>1621.8990129000126</c:v>
                </c:pt>
                <c:pt idx="19">
                  <c:v>1685.2335755335109</c:v>
                </c:pt>
                <c:pt idx="20">
                  <c:v>1753.2590447718096</c:v>
                </c:pt>
                <c:pt idx="21">
                  <c:v>1822.3518596109141</c:v>
                </c:pt>
                <c:pt idx="22">
                  <c:v>1891.4446744500183</c:v>
                </c:pt>
              </c:numCache>
            </c:numRef>
          </c:val>
          <c:smooth val="0"/>
          <c:extLst>
            <c:ext xmlns:c16="http://schemas.microsoft.com/office/drawing/2014/chart" uri="{C3380CC4-5D6E-409C-BE32-E72D297353CC}">
              <c16:uniqueId val="{00000003-9731-47CE-BF2F-978AEE5741D1}"/>
            </c:ext>
          </c:extLst>
        </c:ser>
        <c:dLbls>
          <c:showLegendKey val="0"/>
          <c:showVal val="0"/>
          <c:showCatName val="0"/>
          <c:showSerName val="0"/>
          <c:showPercent val="0"/>
          <c:showBubbleSize val="0"/>
        </c:dLbls>
        <c:smooth val="0"/>
        <c:axId val="1013354928"/>
        <c:axId val="1013351568"/>
      </c:lineChart>
      <c:catAx>
        <c:axId val="101335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3351568"/>
        <c:crosses val="autoZero"/>
        <c:auto val="1"/>
        <c:lblAlgn val="ctr"/>
        <c:lblOffset val="100"/>
        <c:tickLblSkip val="2"/>
        <c:tickMarkSkip val="1"/>
        <c:noMultiLvlLbl val="0"/>
      </c:catAx>
      <c:valAx>
        <c:axId val="101335156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3354928"/>
        <c:crosses val="autoZero"/>
        <c:crossBetween val="between"/>
      </c:valAx>
      <c:spPr>
        <a:noFill/>
        <a:ln>
          <a:noFill/>
        </a:ln>
        <a:effectLst/>
      </c:spPr>
    </c:plotArea>
    <c:legend>
      <c:legendPos val="b"/>
      <c:layout>
        <c:manualLayout>
          <c:xMode val="edge"/>
          <c:yMode val="edge"/>
          <c:x val="7.5487814648033322E-2"/>
          <c:y val="0.12700529582725623"/>
          <c:w val="0.35325917729900935"/>
          <c:h val="0.2100451114723155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'CCC Summary'!$G$53</c:f>
          <c:strCache>
            <c:ptCount val="1"/>
            <c:pt idx="0">
              <c:v>2035 - Strategy 1: LSFO + bio-diesel (base case)</c:v>
            </c:pt>
          </c:strCache>
        </c:strRef>
      </c:tx>
      <c:layout>
        <c:manualLayout>
          <c:xMode val="edge"/>
          <c:yMode val="edge"/>
          <c:x val="9.7792769458492898E-2"/>
          <c:y val="2.6416188355269364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6.296851425542707E-3"/>
          <c:y val="0.14416671034624448"/>
          <c:w val="0.98804358566667572"/>
          <c:h val="0.70670499124589214"/>
        </c:manualLayout>
      </c:layout>
      <c:barChart>
        <c:barDir val="col"/>
        <c:grouping val="stacked"/>
        <c:varyColors val="0"/>
        <c:ser>
          <c:idx val="1"/>
          <c:order val="0"/>
          <c:tx>
            <c:strRef>
              <c:f>'CCC Summary'!$G$54</c:f>
              <c:strCache>
                <c:ptCount val="1"/>
                <c:pt idx="0">
                  <c:v>LSFO fuel</c:v>
                </c:pt>
              </c:strCache>
            </c:strRef>
          </c:tx>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Summary'!$H$54</c:f>
              <c:numCache>
                <c:formatCode>0</c:formatCode>
                <c:ptCount val="1"/>
                <c:pt idx="0">
                  <c:v>547.6718446601941</c:v>
                </c:pt>
              </c:numCache>
            </c:numRef>
          </c:val>
          <c:extLst>
            <c:ext xmlns:c16="http://schemas.microsoft.com/office/drawing/2014/chart" uri="{C3380CC4-5D6E-409C-BE32-E72D297353CC}">
              <c16:uniqueId val="{00000001-2FF2-4A94-80BF-FFC0DB282DC5}"/>
            </c:ext>
          </c:extLst>
        </c:ser>
        <c:ser>
          <c:idx val="2"/>
          <c:order val="1"/>
          <c:tx>
            <c:strRef>
              <c:f>'CCC Summary'!$G$55</c:f>
              <c:strCache>
                <c:ptCount val="1"/>
                <c:pt idx="0">
                  <c:v>GFS (Bio-diesel or RUs)</c:v>
                </c:pt>
              </c:strCache>
            </c:strRef>
          </c:tx>
          <c:spPr>
            <a:solidFill>
              <a:srgbClr val="FAC8C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Summary'!$H$55</c:f>
              <c:numCache>
                <c:formatCode>0</c:formatCode>
                <c:ptCount val="1"/>
                <c:pt idx="0">
                  <c:v>568.60162389635582</c:v>
                </c:pt>
              </c:numCache>
            </c:numRef>
          </c:val>
          <c:extLst>
            <c:ext xmlns:c16="http://schemas.microsoft.com/office/drawing/2014/chart" uri="{C3380CC4-5D6E-409C-BE32-E72D297353CC}">
              <c16:uniqueId val="{00000002-2FF2-4A94-80BF-FFC0DB282DC5}"/>
            </c:ext>
          </c:extLst>
        </c:ser>
        <c:ser>
          <c:idx val="3"/>
          <c:order val="2"/>
          <c:tx>
            <c:strRef>
              <c:f>'CCC Summary'!$G$56</c:f>
              <c:strCache>
                <c:ptCount val="1"/>
                <c:pt idx="0">
                  <c:v>Levy</c:v>
                </c:pt>
              </c:strCache>
            </c:strRef>
          </c:tx>
          <c:spPr>
            <a:solidFill>
              <a:srgbClr val="F7BE4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Summary'!$H$56</c:f>
              <c:numCache>
                <c:formatCode>0</c:formatCode>
                <c:ptCount val="1"/>
                <c:pt idx="0">
                  <c:v>44.262584506301302</c:v>
                </c:pt>
              </c:numCache>
            </c:numRef>
          </c:val>
          <c:extLst>
            <c:ext xmlns:c16="http://schemas.microsoft.com/office/drawing/2014/chart" uri="{C3380CC4-5D6E-409C-BE32-E72D297353CC}">
              <c16:uniqueId val="{00000003-2FF2-4A94-80BF-FFC0DB282DC5}"/>
            </c:ext>
          </c:extLst>
        </c:ser>
        <c:dLbls>
          <c:showLegendKey val="0"/>
          <c:showVal val="0"/>
          <c:showCatName val="0"/>
          <c:showSerName val="0"/>
          <c:showPercent val="0"/>
          <c:showBubbleSize val="0"/>
        </c:dLbls>
        <c:gapWidth val="150"/>
        <c:overlap val="100"/>
        <c:axId val="1015691248"/>
        <c:axId val="1015691728"/>
      </c:barChart>
      <c:lineChart>
        <c:grouping val="standard"/>
        <c:varyColors val="0"/>
        <c:ser>
          <c:idx val="0"/>
          <c:order val="3"/>
          <c:tx>
            <c:strRef>
              <c:f>'CCC Summary'!$G$57</c:f>
              <c:strCache>
                <c:ptCount val="1"/>
                <c:pt idx="0">
                  <c:v>Total S1</c:v>
                </c:pt>
              </c:strCache>
            </c:strRef>
          </c:tx>
          <c:spPr>
            <a:ln w="28575" cap="rnd">
              <a:solidFill>
                <a:schemeClr val="accent1"/>
              </a:solidFill>
              <a:round/>
            </a:ln>
            <a:effectLst/>
          </c:spPr>
          <c:marker>
            <c:symbol val="none"/>
          </c:marker>
          <c:dLbls>
            <c:dLbl>
              <c:idx val="0"/>
              <c:layout>
                <c:manualLayout>
                  <c:x val="-0.23428549392454232"/>
                  <c:y val="-7.2673108877927411E-2"/>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fld id="{14402DC1-8B26-4851-8A80-6F862E76D2E4}" type="SERIESNAME">
                      <a:rPr lang="en-US" b="1"/>
                      <a:pPr>
                        <a:defRPr/>
                      </a:pPr>
                      <a:t>[]</a:t>
                    </a:fld>
                    <a:endParaRPr lang="en-US" b="1" baseline="0"/>
                  </a:p>
                  <a:p>
                    <a:pPr>
                      <a:defRPr/>
                    </a:pPr>
                    <a:fld id="{7AB047BA-E22F-4790-BE27-FFC52C08FD26}" type="VALUE">
                      <a:rPr lang="en-US"/>
                      <a:pPr>
                        <a:defRPr/>
                      </a:pPr>
                      <a:t>[]</a:t>
                    </a:fld>
                    <a:endParaRPr/>
                  </a:p>
                </c:rich>
              </c:tx>
              <c:spPr>
                <a:solidFill>
                  <a:sysClr val="window" lastClr="FFFFFF"/>
                </a:solidFill>
                <a:ln w="12700">
                  <a:solidFill>
                    <a:schemeClr val="tx1">
                      <a:lumMod val="65000"/>
                      <a:lumOff val="3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41132866768633797"/>
                      <c:h val="8.6620633639360137E-2"/>
                    </c:manualLayout>
                  </c15:layout>
                  <c15:dlblFieldTable/>
                  <c15:showDataLabelsRange val="0"/>
                </c:ext>
                <c:ext xmlns:c16="http://schemas.microsoft.com/office/drawing/2014/chart" uri="{C3380CC4-5D6E-409C-BE32-E72D297353CC}">
                  <c16:uniqueId val="{00000006-2FF2-4A94-80BF-FFC0DB282DC5}"/>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t"/>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val>
            <c:numRef>
              <c:f>'CCC Summary'!$H$57</c:f>
              <c:numCache>
                <c:formatCode>0</c:formatCode>
                <c:ptCount val="1"/>
                <c:pt idx="0">
                  <c:v>1160.5360530628511</c:v>
                </c:pt>
              </c:numCache>
            </c:numRef>
          </c:val>
          <c:smooth val="0"/>
          <c:extLst>
            <c:ext xmlns:c16="http://schemas.microsoft.com/office/drawing/2014/chart" uri="{C3380CC4-5D6E-409C-BE32-E72D297353CC}">
              <c16:uniqueId val="{00000005-2FF2-4A94-80BF-FFC0DB282DC5}"/>
            </c:ext>
          </c:extLst>
        </c:ser>
        <c:dLbls>
          <c:showLegendKey val="0"/>
          <c:showVal val="0"/>
          <c:showCatName val="0"/>
          <c:showSerName val="0"/>
          <c:showPercent val="0"/>
          <c:showBubbleSize val="0"/>
        </c:dLbls>
        <c:marker val="1"/>
        <c:smooth val="0"/>
        <c:axId val="1015691248"/>
        <c:axId val="1015691728"/>
      </c:lineChart>
      <c:catAx>
        <c:axId val="1015691248"/>
        <c:scaling>
          <c:orientation val="minMax"/>
        </c:scaling>
        <c:delete val="1"/>
        <c:axPos val="b"/>
        <c:numFmt formatCode="General" sourceLinked="1"/>
        <c:majorTickMark val="none"/>
        <c:minorTickMark val="none"/>
        <c:tickLblPos val="nextTo"/>
        <c:crossAx val="1015691728"/>
        <c:crosses val="autoZero"/>
        <c:auto val="1"/>
        <c:lblAlgn val="ctr"/>
        <c:lblOffset val="100"/>
        <c:noMultiLvlLbl val="0"/>
      </c:catAx>
      <c:valAx>
        <c:axId val="1015691728"/>
        <c:scaling>
          <c:orientation val="minMax"/>
          <c:max val="270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USD/tLSFOeq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015691248"/>
        <c:crosses val="autoZero"/>
        <c:crossBetween val="between"/>
      </c:valAx>
      <c:spPr>
        <a:noFill/>
        <a:ln>
          <a:noFill/>
        </a:ln>
        <a:effectLst/>
      </c:spPr>
    </c:plotArea>
    <c:legend>
      <c:legendPos val="b"/>
      <c:legendEntry>
        <c:idx val="3"/>
        <c:delete val="1"/>
      </c:legendEntry>
      <c:layout>
        <c:manualLayout>
          <c:xMode val="edge"/>
          <c:yMode val="edge"/>
          <c:x val="0.14289069785378236"/>
          <c:y val="0.82320140974051903"/>
          <c:w val="0.71750155905485269"/>
          <c:h val="0.150335999549655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'CCC Summary'!$J$53</c:f>
          <c:strCache>
            <c:ptCount val="1"/>
            <c:pt idx="0">
              <c:v>2035 - Strategy 2: LNG + bio-methane</c:v>
            </c:pt>
          </c:strCache>
        </c:strRef>
      </c:tx>
      <c:layout>
        <c:manualLayout>
          <c:xMode val="edge"/>
          <c:yMode val="edge"/>
          <c:x val="0.11660480615534663"/>
          <c:y val="5.1967261631120157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0"/>
          <c:y val="0.14909993682541978"/>
          <c:w val="0.98804358566667572"/>
          <c:h val="0.70432686996170668"/>
        </c:manualLayout>
      </c:layout>
      <c:barChart>
        <c:barDir val="col"/>
        <c:grouping val="stacked"/>
        <c:varyColors val="0"/>
        <c:ser>
          <c:idx val="3"/>
          <c:order val="0"/>
          <c:tx>
            <c:strRef>
              <c:f>'CCC Summary'!$J$56</c:f>
              <c:strCache>
                <c:ptCount val="1"/>
                <c:pt idx="0">
                  <c:v>GFS Surplus</c:v>
                </c:pt>
              </c:strCache>
            </c:strRef>
          </c:tx>
          <c:spPr>
            <a:pattFill prst="dkDnDiag">
              <a:fgClr>
                <a:schemeClr val="tx1">
                  <a:lumMod val="50000"/>
                  <a:lumOff val="50000"/>
                </a:schemeClr>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Summary'!$K$56</c:f>
              <c:numCache>
                <c:formatCode>0</c:formatCode>
                <c:ptCount val="1"/>
                <c:pt idx="0">
                  <c:v>0</c:v>
                </c:pt>
              </c:numCache>
            </c:numRef>
          </c:val>
          <c:extLst>
            <c:ext xmlns:c16="http://schemas.microsoft.com/office/drawing/2014/chart" uri="{C3380CC4-5D6E-409C-BE32-E72D297353CC}">
              <c16:uniqueId val="{00000002-4776-49CC-B671-6B9A51378308}"/>
            </c:ext>
          </c:extLst>
        </c:ser>
        <c:ser>
          <c:idx val="1"/>
          <c:order val="1"/>
          <c:tx>
            <c:strRef>
              <c:f>'CCC Summary'!$J$54</c:f>
              <c:strCache>
                <c:ptCount val="1"/>
                <c:pt idx="0">
                  <c:v>LNG fuel</c:v>
                </c:pt>
              </c:strCache>
            </c:strRef>
          </c:tx>
          <c:spPr>
            <a:solidFill>
              <a:schemeClr val="tx1">
                <a:lumMod val="50000"/>
                <a:lumOff val="50000"/>
              </a:schemeClr>
            </a:solidFill>
            <a:ln>
              <a:noFill/>
            </a:ln>
            <a:effectLst/>
          </c:spPr>
          <c:invertIfNegative val="0"/>
          <c:dPt>
            <c:idx val="0"/>
            <c:invertIfNegative val="0"/>
            <c:bubble3D val="0"/>
            <c:spPr>
              <a:solidFill>
                <a:schemeClr val="bg1">
                  <a:lumMod val="65000"/>
                </a:schemeClr>
              </a:solidFill>
              <a:ln>
                <a:noFill/>
              </a:ln>
              <a:effectLst/>
            </c:spPr>
            <c:extLst>
              <c:ext xmlns:c16="http://schemas.microsoft.com/office/drawing/2014/chart" uri="{C3380CC4-5D6E-409C-BE32-E72D297353CC}">
                <c16:uniqueId val="{00000007-4776-49CC-B671-6B9A5137830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Summary'!$K$54</c:f>
              <c:numCache>
                <c:formatCode>0</c:formatCode>
                <c:ptCount val="1"/>
                <c:pt idx="0">
                  <c:v>463.32892947781846</c:v>
                </c:pt>
              </c:numCache>
            </c:numRef>
          </c:val>
          <c:extLst>
            <c:ext xmlns:c16="http://schemas.microsoft.com/office/drawing/2014/chart" uri="{C3380CC4-5D6E-409C-BE32-E72D297353CC}">
              <c16:uniqueId val="{00000000-4776-49CC-B671-6B9A51378308}"/>
            </c:ext>
          </c:extLst>
        </c:ser>
        <c:ser>
          <c:idx val="2"/>
          <c:order val="2"/>
          <c:tx>
            <c:strRef>
              <c:f>'CCC Summary'!$J$55</c:f>
              <c:strCache>
                <c:ptCount val="1"/>
                <c:pt idx="0">
                  <c:v>GFS (Bio-methane or RUs)</c:v>
                </c:pt>
              </c:strCache>
            </c:strRef>
          </c:tx>
          <c:spPr>
            <a:solidFill>
              <a:srgbClr val="C2808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Summary'!$K$55</c:f>
              <c:numCache>
                <c:formatCode>0</c:formatCode>
                <c:ptCount val="1"/>
                <c:pt idx="0">
                  <c:v>379.59795689792099</c:v>
                </c:pt>
              </c:numCache>
            </c:numRef>
          </c:val>
          <c:extLst>
            <c:ext xmlns:c16="http://schemas.microsoft.com/office/drawing/2014/chart" uri="{C3380CC4-5D6E-409C-BE32-E72D297353CC}">
              <c16:uniqueId val="{00000001-4776-49CC-B671-6B9A51378308}"/>
            </c:ext>
          </c:extLst>
        </c:ser>
        <c:ser>
          <c:idx val="0"/>
          <c:order val="3"/>
          <c:tx>
            <c:strRef>
              <c:f>'CCC Summary'!$J$57</c:f>
              <c:strCache>
                <c:ptCount val="1"/>
                <c:pt idx="0">
                  <c:v>Levy</c:v>
                </c:pt>
              </c:strCache>
            </c:strRef>
          </c:tx>
          <c:spPr>
            <a:solidFill>
              <a:srgbClr val="F7BE4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Summary'!$K$57</c:f>
              <c:numCache>
                <c:formatCode>0</c:formatCode>
                <c:ptCount val="1"/>
                <c:pt idx="0">
                  <c:v>44.262584506301302</c:v>
                </c:pt>
              </c:numCache>
            </c:numRef>
          </c:val>
          <c:extLst>
            <c:ext xmlns:c16="http://schemas.microsoft.com/office/drawing/2014/chart" uri="{C3380CC4-5D6E-409C-BE32-E72D297353CC}">
              <c16:uniqueId val="{00000004-4776-49CC-B671-6B9A51378308}"/>
            </c:ext>
          </c:extLst>
        </c:ser>
        <c:dLbls>
          <c:showLegendKey val="0"/>
          <c:showVal val="1"/>
          <c:showCatName val="0"/>
          <c:showSerName val="0"/>
          <c:showPercent val="0"/>
          <c:showBubbleSize val="0"/>
        </c:dLbls>
        <c:gapWidth val="150"/>
        <c:overlap val="100"/>
        <c:axId val="1015691248"/>
        <c:axId val="1015691728"/>
      </c:barChart>
      <c:lineChart>
        <c:grouping val="standard"/>
        <c:varyColors val="0"/>
        <c:ser>
          <c:idx val="4"/>
          <c:order val="4"/>
          <c:tx>
            <c:strRef>
              <c:f>'CCC Summary'!$J$58</c:f>
              <c:strCache>
                <c:ptCount val="1"/>
                <c:pt idx="0">
                  <c:v>Total S2</c:v>
                </c:pt>
              </c:strCache>
            </c:strRef>
          </c:tx>
          <c:spPr>
            <a:ln w="28575" cap="rnd">
              <a:solidFill>
                <a:schemeClr val="accent5"/>
              </a:solidFill>
              <a:round/>
            </a:ln>
            <a:effectLst/>
          </c:spPr>
          <c:marker>
            <c:symbol val="none"/>
          </c:marker>
          <c:dLbls>
            <c:dLbl>
              <c:idx val="0"/>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fld id="{260C0B1B-0A95-491B-AEDD-04608B714490}" type="SERIESNAME">
                      <a:rPr lang="en-US" b="1"/>
                      <a:pPr>
                        <a:defRPr/>
                      </a:pPr>
                      <a:t>[]</a:t>
                    </a:fld>
                    <a:endParaRPr lang="en-US" b="1" baseline="0"/>
                  </a:p>
                  <a:p>
                    <a:pPr>
                      <a:defRPr/>
                    </a:pPr>
                    <a:fld id="{0459ED40-FEC6-4846-AF50-8F2BAF690EDD}" type="VALUE">
                      <a:rPr lang="en-US"/>
                      <a:pPr>
                        <a:defRPr/>
                      </a:pPr>
                      <a:t>[]</a:t>
                    </a:fld>
                    <a:endParaRPr/>
                  </a:p>
                </c:rich>
              </c:tx>
              <c:spPr>
                <a:solidFill>
                  <a:schemeClr val="lt1"/>
                </a:solidFill>
                <a:ln w="12700">
                  <a:solidFill>
                    <a:schemeClr val="tx1">
                      <a:lumMod val="65000"/>
                      <a:lumOff val="3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t"/>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40320008990594997"/>
                      <c:h val="8.9007264351202917E-2"/>
                    </c:manualLayout>
                  </c15:layout>
                  <c15:dlblFieldTable/>
                  <c15:showDataLabelsRange val="0"/>
                </c:ext>
                <c:ext xmlns:c16="http://schemas.microsoft.com/office/drawing/2014/chart" uri="{C3380CC4-5D6E-409C-BE32-E72D297353CC}">
                  <c16:uniqueId val="{00000008-4776-49CC-B671-6B9A51378308}"/>
                </c:ext>
              </c:extLst>
            </c:dLbl>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t"/>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val>
            <c:numRef>
              <c:f>'CCC Summary'!$K$58</c:f>
              <c:numCache>
                <c:formatCode>0</c:formatCode>
                <c:ptCount val="1"/>
                <c:pt idx="0">
                  <c:v>887.18947088204084</c:v>
                </c:pt>
              </c:numCache>
            </c:numRef>
          </c:val>
          <c:smooth val="0"/>
          <c:extLst>
            <c:ext xmlns:c16="http://schemas.microsoft.com/office/drawing/2014/chart" uri="{C3380CC4-5D6E-409C-BE32-E72D297353CC}">
              <c16:uniqueId val="{00000005-4776-49CC-B671-6B9A51378308}"/>
            </c:ext>
          </c:extLst>
        </c:ser>
        <c:dLbls>
          <c:showLegendKey val="0"/>
          <c:showVal val="1"/>
          <c:showCatName val="0"/>
          <c:showSerName val="0"/>
          <c:showPercent val="0"/>
          <c:showBubbleSize val="0"/>
        </c:dLbls>
        <c:marker val="1"/>
        <c:smooth val="0"/>
        <c:axId val="1015691248"/>
        <c:axId val="1015691728"/>
      </c:lineChart>
      <c:catAx>
        <c:axId val="1015691248"/>
        <c:scaling>
          <c:orientation val="minMax"/>
        </c:scaling>
        <c:delete val="1"/>
        <c:axPos val="b"/>
        <c:numFmt formatCode="General" sourceLinked="1"/>
        <c:majorTickMark val="none"/>
        <c:minorTickMark val="none"/>
        <c:tickLblPos val="nextTo"/>
        <c:crossAx val="1015691728"/>
        <c:crosses val="autoZero"/>
        <c:auto val="1"/>
        <c:lblAlgn val="ctr"/>
        <c:lblOffset val="100"/>
        <c:noMultiLvlLbl val="0"/>
      </c:catAx>
      <c:valAx>
        <c:axId val="1015691728"/>
        <c:scaling>
          <c:orientation val="minMax"/>
          <c:max val="270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USD/tLSFOeq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015691248"/>
        <c:crosses val="autoZero"/>
        <c:crossBetween val="between"/>
      </c:valAx>
      <c:spPr>
        <a:noFill/>
        <a:ln>
          <a:noFill/>
        </a:ln>
        <a:effectLst/>
      </c:spPr>
    </c:plotArea>
    <c:legend>
      <c:legendPos val="r"/>
      <c:legendEntry>
        <c:idx val="4"/>
        <c:delete val="1"/>
      </c:legendEntry>
      <c:layout>
        <c:manualLayout>
          <c:xMode val="edge"/>
          <c:yMode val="edge"/>
          <c:x val="2.5486731346773067E-2"/>
          <c:y val="0.80970707404600428"/>
          <c:w val="0.91952815430911383"/>
          <c:h val="0.178545669123258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'CCC Summary'!$M$53</c:f>
          <c:strCache>
            <c:ptCount val="1"/>
            <c:pt idx="0">
              <c:v>2035 - Strategy 3: LSFO + ZNZ</c:v>
            </c:pt>
          </c:strCache>
        </c:strRef>
      </c:tx>
      <c:layout>
        <c:manualLayout>
          <c:xMode val="edge"/>
          <c:yMode val="edge"/>
          <c:x val="0.11660480615534663"/>
          <c:y val="5.1967261631120157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0"/>
          <c:y val="0.14194650564541411"/>
          <c:w val="0.98804358566667572"/>
          <c:h val="0.72572987546152823"/>
        </c:manualLayout>
      </c:layout>
      <c:barChart>
        <c:barDir val="col"/>
        <c:grouping val="stacked"/>
        <c:varyColors val="0"/>
        <c:ser>
          <c:idx val="1"/>
          <c:order val="0"/>
          <c:tx>
            <c:strRef>
              <c:f>'CCC Summary'!$M$54</c:f>
              <c:strCache>
                <c:ptCount val="1"/>
                <c:pt idx="0">
                  <c:v>LSFO fuel</c:v>
                </c:pt>
              </c:strCache>
            </c:strRef>
          </c:tx>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Summary'!$N$54</c:f>
              <c:numCache>
                <c:formatCode>0</c:formatCode>
                <c:ptCount val="1"/>
                <c:pt idx="0">
                  <c:v>547.6718446601941</c:v>
                </c:pt>
              </c:numCache>
            </c:numRef>
          </c:val>
          <c:extLst>
            <c:ext xmlns:c16="http://schemas.microsoft.com/office/drawing/2014/chart" uri="{C3380CC4-5D6E-409C-BE32-E72D297353CC}">
              <c16:uniqueId val="{00000003-54AE-49BA-B619-334F42B4DF1B}"/>
            </c:ext>
          </c:extLst>
        </c:ser>
        <c:ser>
          <c:idx val="2"/>
          <c:order val="1"/>
          <c:tx>
            <c:strRef>
              <c:f>'CCC Summary'!$M$55</c:f>
              <c:strCache>
                <c:ptCount val="1"/>
                <c:pt idx="0">
                  <c:v>GFS (ZNZ or RUs)</c:v>
                </c:pt>
              </c:strCache>
            </c:strRef>
          </c:tx>
          <c:spPr>
            <a:solidFill>
              <a:srgbClr val="5E948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Summary'!$N$55</c:f>
              <c:numCache>
                <c:formatCode>0</c:formatCode>
                <c:ptCount val="1"/>
                <c:pt idx="0">
                  <c:v>492.94037756202823</c:v>
                </c:pt>
              </c:numCache>
            </c:numRef>
          </c:val>
          <c:extLst>
            <c:ext xmlns:c16="http://schemas.microsoft.com/office/drawing/2014/chart" uri="{C3380CC4-5D6E-409C-BE32-E72D297353CC}">
              <c16:uniqueId val="{00000004-54AE-49BA-B619-334F42B4DF1B}"/>
            </c:ext>
          </c:extLst>
        </c:ser>
        <c:ser>
          <c:idx val="0"/>
          <c:order val="2"/>
          <c:tx>
            <c:strRef>
              <c:f>'CCC Summary'!$M$56</c:f>
              <c:strCache>
                <c:ptCount val="1"/>
                <c:pt idx="0">
                  <c:v>Levy</c:v>
                </c:pt>
              </c:strCache>
            </c:strRef>
          </c:tx>
          <c:spPr>
            <a:solidFill>
              <a:srgbClr val="F7BE4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Summary'!$N$56</c:f>
              <c:numCache>
                <c:formatCode>0</c:formatCode>
                <c:ptCount val="1"/>
                <c:pt idx="0">
                  <c:v>44.262584506301302</c:v>
                </c:pt>
              </c:numCache>
            </c:numRef>
          </c:val>
          <c:extLst>
            <c:ext xmlns:c16="http://schemas.microsoft.com/office/drawing/2014/chart" uri="{C3380CC4-5D6E-409C-BE32-E72D297353CC}">
              <c16:uniqueId val="{00000005-54AE-49BA-B619-334F42B4DF1B}"/>
            </c:ext>
          </c:extLst>
        </c:ser>
        <c:ser>
          <c:idx val="3"/>
          <c:order val="4"/>
          <c:tx>
            <c:strRef>
              <c:f>'CCC Summary'!$M$57</c:f>
              <c:strCache>
                <c:ptCount val="1"/>
                <c:pt idx="0">
                  <c:v>ZNZ Reward</c:v>
                </c:pt>
              </c:strCache>
            </c:strRef>
          </c:tx>
          <c:spPr>
            <a:solidFill>
              <a:srgbClr val="A3C5BF"/>
            </a:solidFill>
            <a:ln>
              <a:noFill/>
            </a:ln>
            <a:effectLst/>
          </c:spPr>
          <c:invertIfNegative val="0"/>
          <c:dPt>
            <c:idx val="0"/>
            <c:invertIfNegative val="0"/>
            <c:bubble3D val="0"/>
            <c:spPr>
              <a:pattFill prst="dkUpDiag">
                <a:fgClr>
                  <a:srgbClr val="A3C5BF"/>
                </a:fgClr>
                <a:bgClr>
                  <a:schemeClr val="bg1"/>
                </a:bgClr>
              </a:pattFill>
              <a:ln>
                <a:noFill/>
              </a:ln>
              <a:effectLst/>
            </c:spPr>
            <c:extLst>
              <c:ext xmlns:c16="http://schemas.microsoft.com/office/drawing/2014/chart" uri="{C3380CC4-5D6E-409C-BE32-E72D297353CC}">
                <c16:uniqueId val="{00000009-54AE-49BA-B619-334F42B4DF1B}"/>
              </c:ext>
            </c:extLst>
          </c:dPt>
          <c:dLbls>
            <c:dLbl>
              <c:idx val="0"/>
              <c:layout>
                <c:manualLayout>
                  <c:x val="0"/>
                  <c:y val="-1.2110028476684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4AE-49BA-B619-334F42B4DF1B}"/>
                </c:ext>
              </c:extLst>
            </c:dLbl>
            <c:numFmt formatCode="\-\ #,##0" sourceLinked="0"/>
            <c:spPr>
              <a:solidFill>
                <a:srgbClr val="A3C5BF"/>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Summary'!$N$57</c:f>
              <c:numCache>
                <c:formatCode>0</c:formatCode>
                <c:ptCount val="1"/>
                <c:pt idx="0">
                  <c:v>0</c:v>
                </c:pt>
              </c:numCache>
            </c:numRef>
          </c:val>
          <c:extLst>
            <c:ext xmlns:c16="http://schemas.microsoft.com/office/drawing/2014/chart" uri="{C3380CC4-5D6E-409C-BE32-E72D297353CC}">
              <c16:uniqueId val="{00000008-54AE-49BA-B619-334F42B4DF1B}"/>
            </c:ext>
          </c:extLst>
        </c:ser>
        <c:dLbls>
          <c:showLegendKey val="0"/>
          <c:showVal val="0"/>
          <c:showCatName val="0"/>
          <c:showSerName val="0"/>
          <c:showPercent val="0"/>
          <c:showBubbleSize val="0"/>
        </c:dLbls>
        <c:gapWidth val="150"/>
        <c:overlap val="100"/>
        <c:axId val="1015691248"/>
        <c:axId val="1015691728"/>
      </c:barChart>
      <c:lineChart>
        <c:grouping val="standard"/>
        <c:varyColors val="0"/>
        <c:ser>
          <c:idx val="4"/>
          <c:order val="3"/>
          <c:tx>
            <c:strRef>
              <c:f>'CCC Summary'!$M$58</c:f>
              <c:strCache>
                <c:ptCount val="1"/>
                <c:pt idx="0">
                  <c:v>Total S3</c:v>
                </c:pt>
              </c:strCache>
            </c:strRef>
          </c:tx>
          <c:spPr>
            <a:ln w="28575" cap="rnd">
              <a:solidFill>
                <a:schemeClr val="accent5"/>
              </a:solidFill>
              <a:round/>
            </a:ln>
            <a:effectLst/>
          </c:spPr>
          <c:marker>
            <c:symbol val="none"/>
          </c:marker>
          <c:dLbls>
            <c:dLbl>
              <c:idx val="0"/>
              <c:layout>
                <c:manualLayout>
                  <c:x val="-0.22715344451583136"/>
                  <c:y val="-8.0900139370217491E-2"/>
                </c:manualLayout>
              </c:layout>
              <c:tx>
                <c:rich>
                  <a:bodyPr/>
                  <a:lstStyle/>
                  <a:p>
                    <a:fld id="{D720BB00-9F4C-4A69-9C92-418706E2D525}" type="SERIESNAME">
                      <a:rPr lang="en-US" b="1"/>
                      <a:pPr/>
                      <a:t>[]</a:t>
                    </a:fld>
                    <a:r>
                      <a:rPr lang="en-US" baseline="0"/>
                      <a:t>
</a:t>
                    </a:r>
                    <a:fld id="{10A40396-71AC-4350-A957-37A7854C377F}" type="VALUE">
                      <a:rPr lang="en-US" baseline="0"/>
                      <a:pPr/>
                      <a:t>[]</a:t>
                    </a:fld>
                    <a:endParaRPr lang="en-US" baseline="0"/>
                  </a:p>
                </c:rich>
              </c:tx>
              <c:dLblPos val="r"/>
              <c:showLegendKey val="0"/>
              <c:showVal val="1"/>
              <c:showCatName val="0"/>
              <c:showSerName val="1"/>
              <c:showPercent val="0"/>
              <c:showBubbleSize val="0"/>
              <c:separator>
</c:separator>
              <c:extLst>
                <c:ext xmlns:c15="http://schemas.microsoft.com/office/drawing/2012/chart" uri="{CE6537A1-D6FC-4f65-9D91-7224C49458BB}">
                  <c15:layout>
                    <c:manualLayout>
                      <c:w val="0.38407604513174282"/>
                      <c:h val="9.1562351599985506E-2"/>
                    </c:manualLayout>
                  </c15:layout>
                  <c15:dlblFieldTable/>
                  <c15:showDataLabelsRange val="0"/>
                </c:ext>
                <c:ext xmlns:c16="http://schemas.microsoft.com/office/drawing/2014/chart" uri="{C3380CC4-5D6E-409C-BE32-E72D297353CC}">
                  <c16:uniqueId val="{00000006-54AE-49BA-B619-334F42B4DF1B}"/>
                </c:ext>
              </c:extLst>
            </c:dLbl>
            <c:spPr>
              <a:solidFill>
                <a:schemeClr val="lt1"/>
              </a:solidFill>
              <a:ln w="12700">
                <a:solidFill>
                  <a:schemeClr val="tx1">
                    <a:lumMod val="65000"/>
                    <a:lumOff val="3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t"/>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val>
            <c:numRef>
              <c:f>'CCC Summary'!$N$58</c:f>
              <c:numCache>
                <c:formatCode>0</c:formatCode>
                <c:ptCount val="1"/>
                <c:pt idx="0">
                  <c:v>1084.8748067285235</c:v>
                </c:pt>
              </c:numCache>
            </c:numRef>
          </c:val>
          <c:smooth val="0"/>
          <c:extLst>
            <c:ext xmlns:c16="http://schemas.microsoft.com/office/drawing/2014/chart" uri="{C3380CC4-5D6E-409C-BE32-E72D297353CC}">
              <c16:uniqueId val="{00000007-54AE-49BA-B619-334F42B4DF1B}"/>
            </c:ext>
          </c:extLst>
        </c:ser>
        <c:dLbls>
          <c:showLegendKey val="0"/>
          <c:showVal val="1"/>
          <c:showCatName val="0"/>
          <c:showSerName val="0"/>
          <c:showPercent val="0"/>
          <c:showBubbleSize val="0"/>
        </c:dLbls>
        <c:marker val="1"/>
        <c:smooth val="0"/>
        <c:axId val="1015691248"/>
        <c:axId val="1015691728"/>
      </c:lineChart>
      <c:catAx>
        <c:axId val="1015691248"/>
        <c:scaling>
          <c:orientation val="minMax"/>
        </c:scaling>
        <c:delete val="1"/>
        <c:axPos val="b"/>
        <c:numFmt formatCode="General" sourceLinked="1"/>
        <c:majorTickMark val="none"/>
        <c:minorTickMark val="none"/>
        <c:tickLblPos val="nextTo"/>
        <c:crossAx val="1015691728"/>
        <c:crosses val="autoZero"/>
        <c:auto val="1"/>
        <c:lblAlgn val="ctr"/>
        <c:lblOffset val="100"/>
        <c:noMultiLvlLbl val="0"/>
      </c:catAx>
      <c:valAx>
        <c:axId val="1015691728"/>
        <c:scaling>
          <c:orientation val="minMax"/>
          <c:max val="270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USD/tLSFOeq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015691248"/>
        <c:crosses val="autoZero"/>
        <c:crossBetween val="between"/>
      </c:valAx>
      <c:spPr>
        <a:noFill/>
        <a:ln>
          <a:noFill/>
        </a:ln>
        <a:effectLst/>
      </c:spPr>
    </c:plotArea>
    <c:legend>
      <c:legendPos val="r"/>
      <c:legendEntry>
        <c:idx val="4"/>
        <c:delete val="1"/>
      </c:legendEntry>
      <c:layout>
        <c:manualLayout>
          <c:xMode val="edge"/>
          <c:yMode val="edge"/>
          <c:x val="2.5486731346773067E-2"/>
          <c:y val="0.80268555829926524"/>
          <c:w val="0.89807255070552805"/>
          <c:h val="0.197314441700734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'CCC Summary'!$P$53</c:f>
          <c:strCache>
            <c:ptCount val="1"/>
            <c:pt idx="0">
              <c:v>2035 - Strategy 4: 100% ZNZ</c:v>
            </c:pt>
          </c:strCache>
        </c:strRef>
      </c:tx>
      <c:layout>
        <c:manualLayout>
          <c:xMode val="edge"/>
          <c:yMode val="edge"/>
          <c:x val="0.11660480615534663"/>
          <c:y val="5.1967261631120157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6.3715241033540241E-3"/>
          <c:y val="0.14927698362266448"/>
          <c:w val="0.98804358566667572"/>
          <c:h val="0.70670499124589214"/>
        </c:manualLayout>
      </c:layout>
      <c:barChart>
        <c:barDir val="col"/>
        <c:grouping val="stacked"/>
        <c:varyColors val="0"/>
        <c:ser>
          <c:idx val="2"/>
          <c:order val="0"/>
          <c:tx>
            <c:strRef>
              <c:f>'CCC Summary'!$P$54</c:f>
              <c:strCache>
                <c:ptCount val="1"/>
                <c:pt idx="0">
                  <c:v>ZNZ fuel</c:v>
                </c:pt>
              </c:strCache>
            </c:strRef>
          </c:tx>
          <c:spPr>
            <a:solidFill>
              <a:srgbClr val="5E948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Summary'!$Q$54</c:f>
              <c:numCache>
                <c:formatCode>0</c:formatCode>
                <c:ptCount val="1"/>
                <c:pt idx="0">
                  <c:v>1699.9999999999998</c:v>
                </c:pt>
              </c:numCache>
            </c:numRef>
          </c:val>
          <c:extLst>
            <c:ext xmlns:c16="http://schemas.microsoft.com/office/drawing/2014/chart" uri="{C3380CC4-5D6E-409C-BE32-E72D297353CC}">
              <c16:uniqueId val="{00000008-A413-4714-80C4-3412C1B35DDE}"/>
            </c:ext>
          </c:extLst>
        </c:ser>
        <c:ser>
          <c:idx val="3"/>
          <c:order val="1"/>
          <c:tx>
            <c:strRef>
              <c:f>'CCC Summary'!$P$55</c:f>
              <c:strCache>
                <c:ptCount val="1"/>
                <c:pt idx="0">
                  <c:v>GFS (RUs)</c:v>
                </c:pt>
              </c:strCache>
            </c:strRef>
          </c:tx>
          <c:spPr>
            <a:solidFill>
              <a:srgbClr val="B15B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Summary'!$Q$55</c:f>
              <c:numCache>
                <c:formatCode>0</c:formatCode>
                <c:ptCount val="1"/>
                <c:pt idx="0">
                  <c:v>0</c:v>
                </c:pt>
              </c:numCache>
            </c:numRef>
          </c:val>
          <c:extLst>
            <c:ext xmlns:c16="http://schemas.microsoft.com/office/drawing/2014/chart" uri="{C3380CC4-5D6E-409C-BE32-E72D297353CC}">
              <c16:uniqueId val="{00000009-A413-4714-80C4-3412C1B35DDE}"/>
            </c:ext>
          </c:extLst>
        </c:ser>
        <c:ser>
          <c:idx val="4"/>
          <c:order val="2"/>
          <c:tx>
            <c:strRef>
              <c:f>'CCC Summary'!$P$58</c:f>
              <c:strCache>
                <c:ptCount val="1"/>
                <c:pt idx="0">
                  <c:v>Levy</c:v>
                </c:pt>
              </c:strCache>
            </c:strRef>
          </c:tx>
          <c:spPr>
            <a:solidFill>
              <a:srgbClr val="FAD690"/>
            </a:solidFill>
            <a:ln>
              <a:noFill/>
            </a:ln>
            <a:effectLst/>
          </c:spPr>
          <c:invertIfNegative val="0"/>
          <c:dLbls>
            <c:numFmt formatCode="#,##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Summary'!$Q$58</c:f>
              <c:numCache>
                <c:formatCode>0</c:formatCode>
                <c:ptCount val="1"/>
                <c:pt idx="0">
                  <c:v>7.197168212406714</c:v>
                </c:pt>
              </c:numCache>
            </c:numRef>
          </c:val>
          <c:extLst>
            <c:ext xmlns:c16="http://schemas.microsoft.com/office/drawing/2014/chart" uri="{C3380CC4-5D6E-409C-BE32-E72D297353CC}">
              <c16:uniqueId val="{0000000A-A413-4714-80C4-3412C1B35DDE}"/>
            </c:ext>
          </c:extLst>
        </c:ser>
        <c:ser>
          <c:idx val="1"/>
          <c:order val="4"/>
          <c:tx>
            <c:strRef>
              <c:f>'CCC Summary'!$P$56</c:f>
              <c:strCache>
                <c:ptCount val="1"/>
                <c:pt idx="0">
                  <c:v>GFS Surplus</c:v>
                </c:pt>
              </c:strCache>
            </c:strRef>
          </c:tx>
          <c:spPr>
            <a:pattFill prst="wdDnDiag">
              <a:fgClr>
                <a:srgbClr val="5E948A"/>
              </a:fgClr>
              <a:bgClr>
                <a:schemeClr val="bg1"/>
              </a:bgClr>
            </a:pattFill>
            <a:ln>
              <a:noFill/>
            </a:ln>
            <a:effectLst/>
          </c:spPr>
          <c:invertIfNegative val="0"/>
          <c:dLbls>
            <c:numFmt formatCode="\-\ #,##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Summary'!$Q$56</c:f>
              <c:numCache>
                <c:formatCode>0</c:formatCode>
                <c:ptCount val="1"/>
                <c:pt idx="0">
                  <c:v>723.53156112590534</c:v>
                </c:pt>
              </c:numCache>
            </c:numRef>
          </c:val>
          <c:extLst>
            <c:ext xmlns:c16="http://schemas.microsoft.com/office/drawing/2014/chart" uri="{C3380CC4-5D6E-409C-BE32-E72D297353CC}">
              <c16:uniqueId val="{00000007-A413-4714-80C4-3412C1B35DDE}"/>
            </c:ext>
          </c:extLst>
        </c:ser>
        <c:ser>
          <c:idx val="0"/>
          <c:order val="5"/>
          <c:tx>
            <c:strRef>
              <c:f>'CCC Summary'!$P$57</c:f>
              <c:strCache>
                <c:ptCount val="1"/>
                <c:pt idx="0">
                  <c:v>ZNZ Reward</c:v>
                </c:pt>
              </c:strCache>
            </c:strRef>
          </c:tx>
          <c:spPr>
            <a:solidFill>
              <a:srgbClr val="A3C5BF"/>
            </a:solidFill>
            <a:ln>
              <a:noFill/>
            </a:ln>
            <a:effectLst/>
          </c:spPr>
          <c:invertIfNegative val="0"/>
          <c:dPt>
            <c:idx val="0"/>
            <c:invertIfNegative val="0"/>
            <c:bubble3D val="0"/>
            <c:spPr>
              <a:pattFill prst="dkUpDiag">
                <a:fgClr>
                  <a:srgbClr val="A3C5BF"/>
                </a:fgClr>
                <a:bgClr>
                  <a:schemeClr val="bg1"/>
                </a:bgClr>
              </a:pattFill>
              <a:ln>
                <a:noFill/>
              </a:ln>
              <a:effectLst/>
            </c:spPr>
            <c:extLst>
              <c:ext xmlns:c16="http://schemas.microsoft.com/office/drawing/2014/chart" uri="{C3380CC4-5D6E-409C-BE32-E72D297353CC}">
                <c16:uniqueId val="{0000000E-A413-4714-80C4-3412C1B35DDE}"/>
              </c:ext>
            </c:extLst>
          </c:dPt>
          <c:dLbls>
            <c:numFmt formatCode="\-\ #,##0" sourceLinked="0"/>
            <c:spPr>
              <a:solidFill>
                <a:srgbClr val="A3C5BF"/>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Summary'!$Q$57</c:f>
              <c:numCache>
                <c:formatCode>0</c:formatCode>
                <c:ptCount val="1"/>
                <c:pt idx="0">
                  <c:v>0</c:v>
                </c:pt>
              </c:numCache>
            </c:numRef>
          </c:val>
          <c:extLst>
            <c:ext xmlns:c16="http://schemas.microsoft.com/office/drawing/2014/chart" uri="{C3380CC4-5D6E-409C-BE32-E72D297353CC}">
              <c16:uniqueId val="{00000006-A413-4714-80C4-3412C1B35DDE}"/>
            </c:ext>
          </c:extLst>
        </c:ser>
        <c:dLbls>
          <c:showLegendKey val="0"/>
          <c:showVal val="0"/>
          <c:showCatName val="0"/>
          <c:showSerName val="0"/>
          <c:showPercent val="0"/>
          <c:showBubbleSize val="0"/>
        </c:dLbls>
        <c:gapWidth val="150"/>
        <c:overlap val="100"/>
        <c:axId val="1015691248"/>
        <c:axId val="1015691728"/>
      </c:barChart>
      <c:lineChart>
        <c:grouping val="standard"/>
        <c:varyColors val="0"/>
        <c:ser>
          <c:idx val="5"/>
          <c:order val="3"/>
          <c:tx>
            <c:strRef>
              <c:f>'CCC Summary'!$P$59</c:f>
              <c:strCache>
                <c:ptCount val="1"/>
                <c:pt idx="0">
                  <c:v>Total S4</c:v>
                </c:pt>
              </c:strCache>
            </c:strRef>
          </c:tx>
          <c:spPr>
            <a:ln w="28575" cap="rnd">
              <a:solidFill>
                <a:schemeClr val="accent6"/>
              </a:solidFill>
              <a:round/>
            </a:ln>
            <a:effectLst/>
          </c:spPr>
          <c:marker>
            <c:symbol val="none"/>
          </c:marker>
          <c:dLbls>
            <c:dLbl>
              <c:idx val="0"/>
              <c:layout>
                <c:manualLayout>
                  <c:x val="7.0088476039725164E-2"/>
                  <c:y val="-2.4293820652129209E-3"/>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fld id="{92E32984-318F-4A35-B4A4-5C8E93E99344}" type="SERIESNAME">
                      <a:rPr lang="en-US" b="1"/>
                      <a:pPr>
                        <a:defRPr/>
                      </a:pPr>
                      <a:t>[]</a:t>
                    </a:fld>
                    <a:r>
                      <a:rPr lang="en-US" baseline="0"/>
                      <a:t>
</a:t>
                    </a:r>
                    <a:fld id="{8A4C4B10-9588-4658-B201-5A977DAC53DE}" type="VALUE">
                      <a:rPr lang="en-US" baseline="0"/>
                      <a:pPr>
                        <a:defRPr/>
                      </a:pPr>
                      <a:t>[]</a:t>
                    </a:fld>
                    <a:endParaRPr lang="en-US" baseline="0"/>
                  </a:p>
                </c:rich>
              </c:tx>
              <c:spPr>
                <a:xfrm>
                  <a:off x="1206932" y="2522389"/>
                  <a:ext cx="625856" cy="478638"/>
                </a:xfrm>
                <a:solidFill>
                  <a:sysClr val="window" lastClr="FFFFFF"/>
                </a:solidFill>
                <a:ln w="12700" cap="flat" cmpd="sng" algn="ctr">
                  <a:solidFill>
                    <a:sysClr val="windowText" lastClr="000000">
                      <a:lumMod val="50000"/>
                      <a:lumOff val="50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65444"/>
                        <a:gd name="adj2" fmla="val 24764"/>
                      </a:avLst>
                    </a:prstGeom>
                    <a:noFill/>
                    <a:ln>
                      <a:noFill/>
                    </a:ln>
                  </c15:spPr>
                  <c15:layout>
                    <c:manualLayout>
                      <c:w val="0.31399637265796876"/>
                      <c:h val="9.1562423899480064E-2"/>
                    </c:manualLayout>
                  </c15:layout>
                  <c15:dlblFieldTable/>
                  <c15:showDataLabelsRange val="0"/>
                </c:ext>
                <c:ext xmlns:c16="http://schemas.microsoft.com/office/drawing/2014/chart" uri="{C3380CC4-5D6E-409C-BE32-E72D297353CC}">
                  <c16:uniqueId val="{0000000C-A413-4714-80C4-3412C1B35DDE}"/>
                </c:ext>
              </c:extLst>
            </c:dLbl>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val>
            <c:numRef>
              <c:f>'CCC Summary'!$Q$59</c:f>
              <c:numCache>
                <c:formatCode>0</c:formatCode>
                <c:ptCount val="1"/>
                <c:pt idx="0">
                  <c:v>983.66560708650115</c:v>
                </c:pt>
              </c:numCache>
            </c:numRef>
          </c:val>
          <c:smooth val="0"/>
          <c:extLst>
            <c:ext xmlns:c16="http://schemas.microsoft.com/office/drawing/2014/chart" uri="{C3380CC4-5D6E-409C-BE32-E72D297353CC}">
              <c16:uniqueId val="{0000000B-A413-4714-80C4-3412C1B35DDE}"/>
            </c:ext>
          </c:extLst>
        </c:ser>
        <c:dLbls>
          <c:showLegendKey val="0"/>
          <c:showVal val="0"/>
          <c:showCatName val="0"/>
          <c:showSerName val="0"/>
          <c:showPercent val="0"/>
          <c:showBubbleSize val="0"/>
        </c:dLbls>
        <c:marker val="1"/>
        <c:smooth val="0"/>
        <c:axId val="1015691248"/>
        <c:axId val="1015691728"/>
      </c:lineChart>
      <c:catAx>
        <c:axId val="1015691248"/>
        <c:scaling>
          <c:orientation val="minMax"/>
        </c:scaling>
        <c:delete val="1"/>
        <c:axPos val="b"/>
        <c:numFmt formatCode="General" sourceLinked="1"/>
        <c:majorTickMark val="none"/>
        <c:minorTickMark val="none"/>
        <c:tickLblPos val="nextTo"/>
        <c:crossAx val="1015691728"/>
        <c:crosses val="autoZero"/>
        <c:auto val="1"/>
        <c:lblAlgn val="ctr"/>
        <c:lblOffset val="100"/>
        <c:noMultiLvlLbl val="0"/>
      </c:catAx>
      <c:valAx>
        <c:axId val="1015691728"/>
        <c:scaling>
          <c:orientation val="minMax"/>
          <c:max val="270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USD/tLSFOeq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015691248"/>
        <c:crosses val="autoZero"/>
        <c:crossBetween val="between"/>
      </c:valAx>
      <c:spPr>
        <a:noFill/>
        <a:ln>
          <a:noFill/>
        </a:ln>
        <a:effectLst/>
      </c:spPr>
    </c:plotArea>
    <c:legend>
      <c:legendPos val="r"/>
      <c:legendEntry>
        <c:idx val="5"/>
        <c:delete val="1"/>
      </c:legendEntry>
      <c:layout>
        <c:manualLayout>
          <c:xMode val="edge"/>
          <c:yMode val="edge"/>
          <c:x val="2.5486731346773067E-2"/>
          <c:y val="0.82266903191764551"/>
          <c:w val="0.92338463133326321"/>
          <c:h val="0.177291613548926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218899</xdr:colOff>
      <xdr:row>9</xdr:row>
      <xdr:rowOff>32103</xdr:rowOff>
    </xdr:from>
    <xdr:to>
      <xdr:col>13</xdr:col>
      <xdr:colOff>375961</xdr:colOff>
      <xdr:row>23</xdr:row>
      <xdr:rowOff>206729</xdr:rowOff>
    </xdr:to>
    <xdr:graphicFrame macro="">
      <xdr:nvGraphicFramePr>
        <xdr:cNvPr id="27" name="Chart 17">
          <a:extLst>
            <a:ext uri="{FF2B5EF4-FFF2-40B4-BE49-F238E27FC236}">
              <a16:creationId xmlns:a16="http://schemas.microsoft.com/office/drawing/2014/main" id="{FE573F93-1AA7-4E40-A2AB-E88DD002F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230316</xdr:colOff>
      <xdr:row>24</xdr:row>
      <xdr:rowOff>113594</xdr:rowOff>
    </xdr:from>
    <xdr:to>
      <xdr:col>6</xdr:col>
      <xdr:colOff>2247197</xdr:colOff>
      <xdr:row>43</xdr:row>
      <xdr:rowOff>141111</xdr:rowOff>
    </xdr:to>
    <xdr:graphicFrame macro="">
      <xdr:nvGraphicFramePr>
        <xdr:cNvPr id="19" name="Chart 18">
          <a:extLst>
            <a:ext uri="{FF2B5EF4-FFF2-40B4-BE49-F238E27FC236}">
              <a16:creationId xmlns:a16="http://schemas.microsoft.com/office/drawing/2014/main" id="{2C14ADE3-1BB5-C10C-1A8F-AD262BBEA6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2368903</xdr:colOff>
      <xdr:row>24</xdr:row>
      <xdr:rowOff>105833</xdr:rowOff>
    </xdr:from>
    <xdr:to>
      <xdr:col>9</xdr:col>
      <xdr:colOff>49388</xdr:colOff>
      <xdr:row>43</xdr:row>
      <xdr:rowOff>133350</xdr:rowOff>
    </xdr:to>
    <xdr:graphicFrame macro="">
      <xdr:nvGraphicFramePr>
        <xdr:cNvPr id="22" name="Chart 21">
          <a:extLst>
            <a:ext uri="{FF2B5EF4-FFF2-40B4-BE49-F238E27FC236}">
              <a16:creationId xmlns:a16="http://schemas.microsoft.com/office/drawing/2014/main" id="{8ADD83C2-CCF2-43D6-AB3C-610506D469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135820</xdr:colOff>
      <xdr:row>24</xdr:row>
      <xdr:rowOff>98777</xdr:rowOff>
    </xdr:from>
    <xdr:to>
      <xdr:col>11</xdr:col>
      <xdr:colOff>238125</xdr:colOff>
      <xdr:row>43</xdr:row>
      <xdr:rowOff>126294</xdr:rowOff>
    </xdr:to>
    <xdr:graphicFrame macro="">
      <xdr:nvGraphicFramePr>
        <xdr:cNvPr id="23" name="Chart 22">
          <a:extLst>
            <a:ext uri="{FF2B5EF4-FFF2-40B4-BE49-F238E27FC236}">
              <a16:creationId xmlns:a16="http://schemas.microsoft.com/office/drawing/2014/main" id="{B2C0CA7C-CAB4-4439-8D79-CE1B7698E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308177</xdr:colOff>
      <xdr:row>24</xdr:row>
      <xdr:rowOff>93737</xdr:rowOff>
    </xdr:from>
    <xdr:to>
      <xdr:col>13</xdr:col>
      <xdr:colOff>410483</xdr:colOff>
      <xdr:row>43</xdr:row>
      <xdr:rowOff>121254</xdr:rowOff>
    </xdr:to>
    <xdr:graphicFrame macro="">
      <xdr:nvGraphicFramePr>
        <xdr:cNvPr id="24" name="Chart 23">
          <a:extLst>
            <a:ext uri="{FF2B5EF4-FFF2-40B4-BE49-F238E27FC236}">
              <a16:creationId xmlns:a16="http://schemas.microsoft.com/office/drawing/2014/main" id="{95D00590-DAF8-4A33-B345-794F17080A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567230</xdr:colOff>
      <xdr:row>163</xdr:row>
      <xdr:rowOff>0</xdr:rowOff>
    </xdr:from>
    <xdr:to>
      <xdr:col>5</xdr:col>
      <xdr:colOff>1116505</xdr:colOff>
      <xdr:row>163</xdr:row>
      <xdr:rowOff>0</xdr:rowOff>
    </xdr:to>
    <xdr:sp macro="" textlink="">
      <xdr:nvSpPr>
        <xdr:cNvPr id="2" name="Arrow: Right 1">
          <a:extLst>
            <a:ext uri="{FF2B5EF4-FFF2-40B4-BE49-F238E27FC236}">
              <a16:creationId xmlns:a16="http://schemas.microsoft.com/office/drawing/2014/main" id="{9F64D803-3550-4D76-AF67-12962BCA8240}"/>
            </a:ext>
          </a:extLst>
        </xdr:cNvPr>
        <xdr:cNvSpPr/>
      </xdr:nvSpPr>
      <xdr:spPr>
        <a:xfrm>
          <a:off x="4320080" y="59956700"/>
          <a:ext cx="54927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567230</xdr:colOff>
      <xdr:row>158</xdr:row>
      <xdr:rowOff>0</xdr:rowOff>
    </xdr:from>
    <xdr:to>
      <xdr:col>5</xdr:col>
      <xdr:colOff>1116505</xdr:colOff>
      <xdr:row>158</xdr:row>
      <xdr:rowOff>0</xdr:rowOff>
    </xdr:to>
    <xdr:sp macro="" textlink="">
      <xdr:nvSpPr>
        <xdr:cNvPr id="3" name="Arrow: Right 2">
          <a:extLst>
            <a:ext uri="{FF2B5EF4-FFF2-40B4-BE49-F238E27FC236}">
              <a16:creationId xmlns:a16="http://schemas.microsoft.com/office/drawing/2014/main" id="{E794788F-4854-4873-8F0C-B1C8987210A2}"/>
            </a:ext>
          </a:extLst>
        </xdr:cNvPr>
        <xdr:cNvSpPr/>
      </xdr:nvSpPr>
      <xdr:spPr>
        <a:xfrm>
          <a:off x="4320080" y="58908950"/>
          <a:ext cx="54927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567230</xdr:colOff>
      <xdr:row>204</xdr:row>
      <xdr:rowOff>0</xdr:rowOff>
    </xdr:from>
    <xdr:to>
      <xdr:col>5</xdr:col>
      <xdr:colOff>1116505</xdr:colOff>
      <xdr:row>204</xdr:row>
      <xdr:rowOff>0</xdr:rowOff>
    </xdr:to>
    <xdr:sp macro="" textlink="">
      <xdr:nvSpPr>
        <xdr:cNvPr id="4" name="Arrow: Right 3">
          <a:extLst>
            <a:ext uri="{FF2B5EF4-FFF2-40B4-BE49-F238E27FC236}">
              <a16:creationId xmlns:a16="http://schemas.microsoft.com/office/drawing/2014/main" id="{576EE82A-C551-462F-B22E-FE4D07B2A93F}"/>
            </a:ext>
          </a:extLst>
        </xdr:cNvPr>
        <xdr:cNvSpPr/>
      </xdr:nvSpPr>
      <xdr:spPr>
        <a:xfrm>
          <a:off x="4320080" y="53606700"/>
          <a:ext cx="54927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567230</xdr:colOff>
      <xdr:row>120</xdr:row>
      <xdr:rowOff>19050</xdr:rowOff>
    </xdr:from>
    <xdr:to>
      <xdr:col>1</xdr:col>
      <xdr:colOff>1116505</xdr:colOff>
      <xdr:row>120</xdr:row>
      <xdr:rowOff>19050</xdr:rowOff>
    </xdr:to>
    <xdr:sp macro="" textlink="">
      <xdr:nvSpPr>
        <xdr:cNvPr id="5" name="Arrow: Right 4">
          <a:extLst>
            <a:ext uri="{FF2B5EF4-FFF2-40B4-BE49-F238E27FC236}">
              <a16:creationId xmlns:a16="http://schemas.microsoft.com/office/drawing/2014/main" id="{DCF4A975-A27A-4194-B850-84EA42130296}"/>
            </a:ext>
          </a:extLst>
        </xdr:cNvPr>
        <xdr:cNvSpPr/>
      </xdr:nvSpPr>
      <xdr:spPr>
        <a:xfrm>
          <a:off x="5755180" y="22091650"/>
          <a:ext cx="54927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zerocarbonshipping.sharepoint.com/sites/40033/Delte%20dokumenter/General/1%20Working%20documents/2%20Value%20Prop%20-%20Case%20study%20data%20and%20modeling/Participants/Hapag%20Lloyd/HL%20Model/Hapag%20Lloyd%20FuelEU%20Impact%20Model.xlsx" TargetMode="External"/><Relationship Id="rId1" Type="http://schemas.openxmlformats.org/officeDocument/2006/relationships/externalLinkPath" Target="file:///\\sites\40033\Delte%2520dokumenter\General\1%2520Working%2520documents\2%2520Value%2520Prop%2520-%2520Case%2520study%2520data%2520and%2520modeling\Participants\Hapag%2520Lloyd\HL%2520Model\Hapag%2520Lloyd%2520FuelEU%2520Impact%25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L Results"/>
      <sheetName val="FuelCost"/>
      <sheetName val="Results"/>
      <sheetName val="RouteAssessment"/>
      <sheetName val="FuelEUCost"/>
      <sheetName val="FuelEUPoolingv2"/>
      <sheetName val="ETS"/>
      <sheetName val="IRACredits"/>
      <sheetName val="GHG Factors"/>
      <sheetName val="GHG Factors (2)"/>
      <sheetName val="Multiplier Analysis"/>
      <sheetName val="ETS Analysis"/>
      <sheetName val="Scratch"/>
      <sheetName val="Voyages"/>
      <sheetName val="EnergyTransition"/>
      <sheetName val="Glossary"/>
      <sheetName val="Drop-Downs"/>
      <sheetName val="FuelDefinitions"/>
      <sheetName val="Questions and ToDo"/>
      <sheetName val="Gut Check"/>
      <sheetName val="Interaction"/>
      <sheetName val="FROM TMA"/>
      <sheetName val="OLDFuelEUPooling"/>
      <sheetName val="OLD Ammonia Analysis"/>
      <sheetName val="OLD GHG Factors"/>
      <sheetName val="OLD_CAPEX Calculation"/>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zerocarbonshipping.com/cost-calculator/" TargetMode="External"/><Relationship Id="rId2" Type="http://schemas.openxmlformats.org/officeDocument/2006/relationships/hyperlink" Target="https://www.zerocarbonshipping.com/cost-calculator/" TargetMode="External"/><Relationship Id="rId1" Type="http://schemas.openxmlformats.org/officeDocument/2006/relationships/hyperlink" Target="https://www.lr.org/en/knowledge/research-reports/techno-economic-assessment-of-zero-carbon-fuel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zerocarbonshipping.com/news/countdown-ru-ready-analyzing-the-cost-of-non-complianc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lr.org/en/knowledge/research-reports/techno-economic-assessment-of-zero-carbon-fuels/" TargetMode="External"/><Relationship Id="rId13" Type="http://schemas.openxmlformats.org/officeDocument/2006/relationships/hyperlink" Target="https://wwwcdn.imo.org/localresources/en/OurWork/Environment/Documents/annex/MEPC%2081/Annex%2010.pdf" TargetMode="External"/><Relationship Id="rId18" Type="http://schemas.openxmlformats.org/officeDocument/2006/relationships/hyperlink" Target="https://eur-lex.europa.eu/legal-content/EN/TXT/PDF/?uri=CELEX:32023R1805" TargetMode="External"/><Relationship Id="rId3" Type="http://schemas.openxmlformats.org/officeDocument/2006/relationships/hyperlink" Target="https://www.zerocarbonshipping.com/cost-calculator/?s=0" TargetMode="External"/><Relationship Id="rId7" Type="http://schemas.openxmlformats.org/officeDocument/2006/relationships/hyperlink" Target="https://www.zerocarbonshipping.com/cost-calculator/" TargetMode="External"/><Relationship Id="rId12" Type="http://schemas.openxmlformats.org/officeDocument/2006/relationships/hyperlink" Target="https://wwwcdn.imo.org/localresources/en/OurWork/Environment/Documents/annex/MEPC%2081/Annex%2010.pdf" TargetMode="External"/><Relationship Id="rId17" Type="http://schemas.openxmlformats.org/officeDocument/2006/relationships/hyperlink" Target="https://eur-lex.europa.eu/legal-content/EN/TXT/PDF/?uri=CELEX:32023R1805" TargetMode="External"/><Relationship Id="rId2" Type="http://schemas.openxmlformats.org/officeDocument/2006/relationships/hyperlink" Target="https://www.imo.org/en/OurWork/Environment/Pages/Assessment-of-impacts-on-States.aspx" TargetMode="External"/><Relationship Id="rId16" Type="http://schemas.openxmlformats.org/officeDocument/2006/relationships/hyperlink" Target="https://eur-lex.europa.eu/legal-content/EN/TXT/PDF/?uri=CELEX:32023R1805" TargetMode="External"/><Relationship Id="rId1" Type="http://schemas.openxmlformats.org/officeDocument/2006/relationships/hyperlink" Target="https://eur-lex.europa.eu/legal-content/EN/TXT/PDF/?uri=CELEX:32023R1805" TargetMode="External"/><Relationship Id="rId6" Type="http://schemas.openxmlformats.org/officeDocument/2006/relationships/hyperlink" Target="https://www.zerocarbonshipping.com/cost-calculator/" TargetMode="External"/><Relationship Id="rId11" Type="http://schemas.openxmlformats.org/officeDocument/2006/relationships/hyperlink" Target="https://www.imo.org/en/OurWork/Environment/Pages/Assessment-of-impacts-on-States.aspx" TargetMode="External"/><Relationship Id="rId5" Type="http://schemas.openxmlformats.org/officeDocument/2006/relationships/hyperlink" Target="https://www.zerocarbonshipping.com/cost-calculator/" TargetMode="External"/><Relationship Id="rId15" Type="http://schemas.openxmlformats.org/officeDocument/2006/relationships/hyperlink" Target="https://www.zerocarbonshipping.com/cost-calculator/?s=0" TargetMode="External"/><Relationship Id="rId10" Type="http://schemas.openxmlformats.org/officeDocument/2006/relationships/hyperlink" Target="https://www.lr.org/en/knowledge/research-reports/techno-economic-assessment-of-zero-carbon-fuels/" TargetMode="External"/><Relationship Id="rId19" Type="http://schemas.openxmlformats.org/officeDocument/2006/relationships/hyperlink" Target="https://eur-lex.europa.eu/legal-content/EN/TXT/PDF/?uri=CELEX:32023R1805" TargetMode="External"/><Relationship Id="rId4" Type="http://schemas.openxmlformats.org/officeDocument/2006/relationships/hyperlink" Target="https://www.zerocarbonshipping.com/cost-calculator/?s=0" TargetMode="External"/><Relationship Id="rId9" Type="http://schemas.openxmlformats.org/officeDocument/2006/relationships/hyperlink" Target="https://www.lr.org/en/knowledge/research-reports/techno-economic-assessment-of-zero-carbon-fuels/" TargetMode="External"/><Relationship Id="rId14" Type="http://schemas.openxmlformats.org/officeDocument/2006/relationships/hyperlink" Target="https://eur-lex.europa.eu/legal-content/EN/TXT/PDF/?uri=CELEX:32023R18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4486B-CE23-4CE9-B094-717E34F5B689}">
  <sheetPr codeName="Sheet3">
    <tabColor rgb="FF5E948A"/>
  </sheetPr>
  <dimension ref="A1:AZ74"/>
  <sheetViews>
    <sheetView showGridLines="0" tabSelected="1" topLeftCell="A12" zoomScale="70" zoomScaleNormal="70" workbookViewId="0">
      <selection activeCell="E68" sqref="E68"/>
    </sheetView>
  </sheetViews>
  <sheetFormatPr defaultColWidth="8.7109375" defaultRowHeight="15"/>
  <cols>
    <col min="1" max="1" width="3.7109375" style="24" customWidth="1"/>
    <col min="2" max="2" width="44.42578125" style="24" customWidth="1"/>
    <col min="3" max="3" width="32" style="22" customWidth="1"/>
    <col min="4" max="5" width="32.140625" style="24" customWidth="1"/>
    <col min="6" max="6" width="5.85546875" style="24" customWidth="1"/>
    <col min="7" max="7" width="34.140625" style="24" customWidth="1"/>
    <col min="8" max="8" width="11.5703125" style="24" customWidth="1"/>
    <col min="9" max="18" width="13.5703125" style="24" customWidth="1"/>
    <col min="19" max="22" width="13.7109375" style="24" customWidth="1"/>
    <col min="23" max="26" width="13.140625" style="24" customWidth="1"/>
    <col min="27" max="27" width="13.5703125" style="24" customWidth="1"/>
    <col min="28" max="28" width="13.140625" style="24" customWidth="1"/>
    <col min="29" max="31" width="13.5703125" style="24" customWidth="1"/>
    <col min="32" max="33" width="13.140625" style="24" customWidth="1"/>
    <col min="34" max="35" width="18.42578125" style="24" customWidth="1"/>
    <col min="36" max="36" width="10.85546875" style="24" bestFit="1" customWidth="1"/>
    <col min="37" max="37" width="11.7109375" style="24" bestFit="1" customWidth="1"/>
    <col min="38" max="42" width="10.85546875" style="24" bestFit="1" customWidth="1"/>
    <col min="43" max="16384" width="8.7109375" style="24"/>
  </cols>
  <sheetData>
    <row r="1" spans="1:52">
      <c r="A1" s="92"/>
      <c r="B1" s="93" t="s">
        <v>0</v>
      </c>
      <c r="C1" s="94"/>
      <c r="D1" s="92"/>
      <c r="E1" s="92"/>
      <c r="F1" s="92"/>
      <c r="G1" s="6"/>
      <c r="H1" s="6"/>
      <c r="I1" s="6"/>
      <c r="J1" s="6"/>
      <c r="K1" s="6"/>
      <c r="L1" s="6"/>
      <c r="M1" s="6"/>
      <c r="N1" s="6"/>
      <c r="O1" s="6"/>
      <c r="P1" s="6"/>
      <c r="Q1" s="6"/>
      <c r="R1" s="6"/>
      <c r="S1" s="103"/>
      <c r="T1" s="103"/>
      <c r="U1" s="103"/>
      <c r="V1" s="103"/>
      <c r="W1" s="103"/>
      <c r="X1" s="103"/>
      <c r="Y1" s="103"/>
      <c r="Z1" s="103"/>
      <c r="AA1" s="103"/>
      <c r="AB1" s="103"/>
      <c r="AC1" s="103"/>
      <c r="AD1" s="103"/>
    </row>
    <row r="2" spans="1:52" ht="35.450000000000003" customHeight="1">
      <c r="A2" s="90"/>
      <c r="B2" s="97" t="s">
        <v>1</v>
      </c>
      <c r="C2" s="91"/>
      <c r="D2" s="91"/>
      <c r="E2" s="91"/>
      <c r="F2" s="91"/>
      <c r="G2" s="6"/>
      <c r="H2" s="6"/>
      <c r="I2" s="6"/>
      <c r="J2" s="6"/>
      <c r="K2" s="6"/>
      <c r="L2" s="6"/>
      <c r="M2" s="6"/>
      <c r="N2" s="6"/>
      <c r="O2" s="6"/>
      <c r="P2" s="6"/>
      <c r="Q2" s="6"/>
      <c r="R2" s="6"/>
      <c r="S2" s="103"/>
      <c r="T2" s="103"/>
      <c r="U2" s="103"/>
      <c r="V2" s="103"/>
      <c r="W2" s="103"/>
      <c r="X2" s="103"/>
      <c r="Y2" s="103"/>
      <c r="Z2" s="103"/>
      <c r="AA2" s="103"/>
      <c r="AB2" s="103"/>
      <c r="AC2" s="103"/>
      <c r="AD2" s="104"/>
      <c r="AE2" s="105"/>
      <c r="AF2" s="76"/>
      <c r="AG2" s="76"/>
      <c r="AH2" s="76"/>
      <c r="AI2" s="76"/>
    </row>
    <row r="3" spans="1:52" ht="48.6" customHeight="1">
      <c r="A3" s="89"/>
      <c r="B3" s="160" t="s">
        <v>2</v>
      </c>
      <c r="C3" s="160"/>
      <c r="D3" s="160"/>
      <c r="E3" s="160"/>
      <c r="F3" s="92"/>
      <c r="G3" s="6"/>
      <c r="H3" s="6"/>
      <c r="I3" s="6"/>
      <c r="J3" s="6"/>
      <c r="K3" s="6"/>
      <c r="L3" s="6"/>
      <c r="M3" s="6"/>
      <c r="N3" s="6"/>
      <c r="O3" s="6"/>
      <c r="P3" s="6"/>
      <c r="Q3" s="6"/>
      <c r="R3" s="6"/>
      <c r="S3" s="103"/>
      <c r="T3" s="103"/>
      <c r="U3" s="103"/>
      <c r="V3" s="103"/>
      <c r="W3" s="103"/>
      <c r="X3" s="103"/>
      <c r="Y3" s="103"/>
      <c r="Z3" s="103"/>
      <c r="AA3" s="103"/>
      <c r="AB3" s="103"/>
      <c r="AC3" s="103"/>
      <c r="AD3" s="104"/>
      <c r="AE3" s="105"/>
      <c r="AF3" s="76"/>
      <c r="AG3" s="76"/>
      <c r="AH3" s="76"/>
      <c r="AI3" s="76"/>
    </row>
    <row r="4" spans="1:52" ht="66.95" customHeight="1">
      <c r="B4" s="158" t="s">
        <v>3</v>
      </c>
      <c r="C4" s="158"/>
      <c r="D4" s="158"/>
      <c r="E4" s="158"/>
      <c r="G4" s="6"/>
      <c r="H4" s="6"/>
      <c r="I4" s="6"/>
      <c r="J4" s="6"/>
      <c r="K4" s="6"/>
      <c r="L4" s="6"/>
      <c r="M4" s="6"/>
      <c r="N4" s="6"/>
      <c r="O4" s="6"/>
      <c r="P4" s="6"/>
      <c r="Q4" s="6"/>
      <c r="R4" s="6"/>
      <c r="S4" s="103"/>
      <c r="T4" s="103"/>
      <c r="U4" s="103"/>
      <c r="V4" s="103"/>
      <c r="W4" s="103"/>
      <c r="X4" s="103"/>
      <c r="Y4" s="103"/>
      <c r="Z4" s="103"/>
      <c r="AA4" s="103"/>
      <c r="AB4" s="103"/>
      <c r="AC4" s="103"/>
      <c r="AD4" s="103"/>
      <c r="AE4" s="105"/>
      <c r="AF4" s="76"/>
      <c r="AG4" s="76"/>
      <c r="AH4" s="76"/>
      <c r="AI4" s="76"/>
    </row>
    <row r="5" spans="1:52" ht="94.5" customHeight="1">
      <c r="B5" s="158" t="s">
        <v>4</v>
      </c>
      <c r="C5" s="158"/>
      <c r="D5" s="158"/>
      <c r="E5" s="158"/>
      <c r="G5" s="6"/>
      <c r="H5" s="6"/>
      <c r="I5" s="6"/>
      <c r="J5" s="6"/>
      <c r="K5" s="6"/>
      <c r="L5" s="6"/>
      <c r="M5" s="6"/>
      <c r="N5" s="6"/>
      <c r="O5" s="6"/>
      <c r="P5" s="6"/>
      <c r="Q5" s="6"/>
      <c r="R5" s="6"/>
      <c r="S5" s="103"/>
      <c r="T5" s="103"/>
      <c r="U5" s="103"/>
      <c r="V5" s="103"/>
      <c r="W5" s="103"/>
      <c r="X5" s="103"/>
      <c r="Y5" s="103"/>
      <c r="Z5" s="103"/>
      <c r="AA5" s="103"/>
      <c r="AB5" s="103"/>
      <c r="AC5" s="103"/>
      <c r="AD5" s="103"/>
      <c r="AE5" s="105"/>
      <c r="AF5" s="76"/>
      <c r="AG5" s="76"/>
      <c r="AH5" s="76"/>
      <c r="AI5" s="76"/>
    </row>
    <row r="6" spans="1:52" ht="66.95" customHeight="1">
      <c r="B6" s="158" t="s">
        <v>5</v>
      </c>
      <c r="C6" s="158"/>
      <c r="D6" s="158"/>
      <c r="E6" s="158"/>
      <c r="G6" s="6"/>
      <c r="H6" s="6"/>
      <c r="I6" s="6"/>
      <c r="J6" s="6"/>
      <c r="K6" s="6"/>
      <c r="L6" s="6"/>
      <c r="M6" s="6"/>
      <c r="N6" s="6"/>
      <c r="O6" s="6"/>
      <c r="P6" s="6"/>
      <c r="Q6" s="6"/>
      <c r="R6" s="148" t="s">
        <v>6</v>
      </c>
      <c r="S6" s="104"/>
      <c r="T6" s="104"/>
      <c r="U6" s="104"/>
      <c r="V6" s="103"/>
      <c r="W6" s="103"/>
      <c r="X6" s="103"/>
      <c r="Y6" s="103"/>
      <c r="Z6" s="103"/>
      <c r="AA6" s="103"/>
      <c r="AB6" s="103"/>
      <c r="AC6" s="103"/>
      <c r="AD6" s="103"/>
      <c r="AE6" s="105"/>
      <c r="AF6" s="76"/>
      <c r="AG6" s="76"/>
      <c r="AH6" s="76"/>
      <c r="AI6" s="76"/>
    </row>
    <row r="7" spans="1:52" ht="33.950000000000003" customHeight="1">
      <c r="B7" s="159" t="s">
        <v>7</v>
      </c>
      <c r="C7" s="159"/>
      <c r="D7" s="159"/>
      <c r="E7" s="159"/>
      <c r="G7" s="6"/>
      <c r="H7" s="6"/>
      <c r="I7" s="6"/>
      <c r="J7" s="6"/>
      <c r="K7" s="6"/>
      <c r="L7" s="6"/>
      <c r="M7" s="6"/>
      <c r="N7" s="6"/>
      <c r="O7" s="6"/>
      <c r="P7" s="6"/>
      <c r="Q7" s="6"/>
      <c r="R7" s="149" t="s">
        <v>8</v>
      </c>
      <c r="S7" s="149" t="s">
        <v>9</v>
      </c>
      <c r="T7" s="149" t="s">
        <v>10</v>
      </c>
      <c r="U7" s="104"/>
      <c r="V7" s="103"/>
      <c r="W7" s="103"/>
      <c r="X7" s="103"/>
      <c r="Y7" s="103"/>
      <c r="Z7" s="103"/>
      <c r="AA7" s="103"/>
      <c r="AB7" s="103"/>
      <c r="AC7" s="103"/>
      <c r="AD7" s="103"/>
      <c r="AE7" s="105"/>
      <c r="AF7" s="76"/>
      <c r="AG7" s="76"/>
      <c r="AH7" s="76"/>
      <c r="AI7" s="76"/>
    </row>
    <row r="8" spans="1:52" ht="15.6" customHeight="1">
      <c r="A8" s="19"/>
      <c r="B8" s="87"/>
      <c r="C8" s="87"/>
      <c r="D8" s="87"/>
      <c r="E8" s="87"/>
      <c r="F8" s="87"/>
      <c r="G8" s="6"/>
      <c r="H8" s="6"/>
      <c r="I8" s="6"/>
      <c r="J8" s="6"/>
      <c r="K8" s="6"/>
      <c r="L8" s="6"/>
      <c r="M8" s="6"/>
      <c r="N8" s="6"/>
      <c r="O8" s="6"/>
      <c r="P8" s="6"/>
      <c r="Q8" s="6"/>
      <c r="R8" s="149" t="s">
        <v>11</v>
      </c>
      <c r="S8" s="149" t="s">
        <v>12</v>
      </c>
      <c r="T8" s="149" t="s">
        <v>13</v>
      </c>
      <c r="U8" s="104"/>
      <c r="V8" s="103"/>
      <c r="W8" s="103"/>
      <c r="X8" s="103"/>
      <c r="Y8" s="103"/>
      <c r="Z8" s="103"/>
      <c r="AA8" s="103"/>
      <c r="AB8" s="103"/>
      <c r="AC8" s="103"/>
      <c r="AD8" s="103"/>
      <c r="AE8" s="105"/>
      <c r="AF8" s="76"/>
      <c r="AG8" s="76"/>
      <c r="AH8" s="76"/>
      <c r="AI8" s="76"/>
    </row>
    <row r="9" spans="1:52" ht="23.25">
      <c r="A9" s="19"/>
      <c r="B9" s="77" t="s">
        <v>14</v>
      </c>
      <c r="C9" s="19"/>
      <c r="D9" s="19"/>
      <c r="E9" s="19"/>
      <c r="F9" s="19"/>
      <c r="G9" s="102" t="s">
        <v>15</v>
      </c>
      <c r="H9" s="6"/>
      <c r="I9" s="6"/>
      <c r="J9" s="6"/>
      <c r="K9" s="6"/>
      <c r="L9" s="6"/>
      <c r="M9" s="6"/>
      <c r="N9" s="6"/>
      <c r="O9" s="6"/>
      <c r="P9" s="6"/>
      <c r="Q9" s="6"/>
      <c r="R9" s="149" t="s">
        <v>16</v>
      </c>
      <c r="S9" s="149" t="s">
        <v>13</v>
      </c>
      <c r="T9" s="149" t="s">
        <v>10</v>
      </c>
      <c r="U9" s="104"/>
      <c r="V9" s="103"/>
      <c r="W9" s="103"/>
      <c r="X9" s="103"/>
      <c r="Y9" s="103"/>
      <c r="Z9" s="103"/>
      <c r="AA9" s="103"/>
      <c r="AB9" s="103"/>
      <c r="AC9" s="103"/>
      <c r="AD9" s="103"/>
      <c r="AE9" s="105"/>
      <c r="AF9" s="76"/>
      <c r="AG9" s="76"/>
      <c r="AH9" s="76"/>
      <c r="AI9" s="76"/>
    </row>
    <row r="10" spans="1:52" ht="19.5" thickBot="1">
      <c r="A10" s="19"/>
      <c r="B10" s="7" t="s">
        <v>17</v>
      </c>
      <c r="C10" s="8"/>
      <c r="D10" s="9" t="s">
        <v>18</v>
      </c>
      <c r="E10" s="8"/>
      <c r="F10" s="8"/>
      <c r="G10" s="6"/>
      <c r="H10" s="6"/>
      <c r="I10" s="6"/>
      <c r="J10" s="6"/>
      <c r="K10" s="6"/>
      <c r="L10" s="6"/>
      <c r="M10" s="6"/>
      <c r="N10" s="6"/>
      <c r="O10" s="6"/>
      <c r="P10" s="6"/>
      <c r="Q10" s="6"/>
      <c r="R10" s="149" t="s">
        <v>19</v>
      </c>
      <c r="S10" s="149" t="s">
        <v>20</v>
      </c>
      <c r="T10" s="149" t="s">
        <v>21</v>
      </c>
      <c r="U10" s="104"/>
      <c r="V10" s="103"/>
      <c r="W10" s="103"/>
      <c r="X10" s="103"/>
      <c r="Y10" s="103"/>
      <c r="Z10" s="103"/>
      <c r="AA10" s="103"/>
      <c r="AB10" s="103"/>
      <c r="AC10" s="103"/>
      <c r="AD10" s="103"/>
      <c r="AE10" s="105"/>
      <c r="AF10" s="76"/>
      <c r="AG10" s="76"/>
      <c r="AH10" s="76"/>
      <c r="AI10" s="76"/>
    </row>
    <row r="11" spans="1:52" ht="20.25" thickTop="1" thickBot="1">
      <c r="A11" s="19"/>
      <c r="B11" s="79" t="s">
        <v>22</v>
      </c>
      <c r="C11" s="74">
        <v>2035</v>
      </c>
      <c r="D11" s="154" t="s">
        <v>23</v>
      </c>
      <c r="E11" s="154"/>
      <c r="F11" s="87"/>
      <c r="G11" s="6"/>
      <c r="H11" s="88"/>
      <c r="I11" s="88"/>
      <c r="J11" s="88"/>
      <c r="K11" s="88"/>
      <c r="L11" s="88"/>
      <c r="M11" s="88"/>
      <c r="N11" s="88"/>
      <c r="O11" s="88"/>
      <c r="P11" s="88"/>
      <c r="Q11" s="88"/>
      <c r="R11" s="149" t="s">
        <v>24</v>
      </c>
      <c r="S11" s="149" t="s">
        <v>25</v>
      </c>
      <c r="T11" s="149"/>
      <c r="U11" s="104"/>
      <c r="V11" s="103"/>
      <c r="W11" s="103"/>
      <c r="X11" s="103"/>
      <c r="Y11" s="103"/>
      <c r="Z11" s="103"/>
      <c r="AA11" s="103"/>
      <c r="AB11" s="103"/>
      <c r="AC11" s="103"/>
      <c r="AD11" s="103"/>
      <c r="AE11" s="105"/>
      <c r="AF11" s="76"/>
      <c r="AG11" s="76"/>
      <c r="AH11" s="76"/>
      <c r="AI11" s="76"/>
    </row>
    <row r="12" spans="1:52" ht="23.1" customHeight="1" thickTop="1" thickBot="1">
      <c r="A12" s="19"/>
      <c r="B12" s="79" t="s">
        <v>26</v>
      </c>
      <c r="C12" s="74" t="s">
        <v>8</v>
      </c>
      <c r="D12" s="154" t="s">
        <v>27</v>
      </c>
      <c r="E12" s="154"/>
      <c r="F12" s="87"/>
      <c r="G12" s="6"/>
      <c r="H12" s="88"/>
      <c r="I12" s="88"/>
      <c r="J12" s="88"/>
      <c r="K12" s="88"/>
      <c r="L12" s="88"/>
      <c r="M12" s="88"/>
      <c r="N12" s="88"/>
      <c r="O12" s="88"/>
      <c r="P12" s="88"/>
      <c r="Q12" s="88"/>
      <c r="R12" s="149" t="s">
        <v>28</v>
      </c>
      <c r="S12" s="149" t="s">
        <v>29</v>
      </c>
      <c r="T12" s="149"/>
      <c r="U12" s="104"/>
      <c r="V12" s="103"/>
      <c r="W12" s="103"/>
      <c r="X12" s="103"/>
      <c r="Y12" s="103"/>
      <c r="Z12" s="103"/>
      <c r="AA12" s="103"/>
      <c r="AB12" s="103"/>
      <c r="AC12" s="103"/>
      <c r="AD12" s="103"/>
      <c r="AE12" s="105"/>
      <c r="AF12" s="76"/>
      <c r="AG12" s="76"/>
      <c r="AH12" s="76"/>
      <c r="AI12" s="76"/>
    </row>
    <row r="13" spans="1:52" ht="20.25" thickTop="1" thickBot="1">
      <c r="A13" s="20"/>
      <c r="B13" s="79" t="s">
        <v>30</v>
      </c>
      <c r="C13" s="74" t="s">
        <v>12</v>
      </c>
      <c r="D13" s="154" t="s">
        <v>31</v>
      </c>
      <c r="E13" s="154"/>
      <c r="F13" s="87"/>
      <c r="G13" s="6"/>
      <c r="H13" s="88"/>
      <c r="I13" s="88"/>
      <c r="J13" s="88"/>
      <c r="K13" s="88"/>
      <c r="L13" s="88"/>
      <c r="M13" s="88"/>
      <c r="N13" s="88"/>
      <c r="O13" s="88"/>
      <c r="P13" s="88"/>
      <c r="Q13" s="88"/>
      <c r="R13" s="149" t="s">
        <v>32</v>
      </c>
      <c r="S13" s="149" t="s">
        <v>33</v>
      </c>
      <c r="T13" s="149"/>
      <c r="U13" s="104"/>
      <c r="V13" s="103"/>
      <c r="W13" s="103"/>
      <c r="X13" s="103"/>
      <c r="Y13" s="103"/>
      <c r="Z13" s="103"/>
      <c r="AA13" s="103"/>
      <c r="AB13" s="103"/>
      <c r="AC13" s="103"/>
      <c r="AD13" s="103"/>
      <c r="AE13" s="105"/>
      <c r="AF13" s="76"/>
      <c r="AG13" s="76"/>
      <c r="AH13" s="76"/>
      <c r="AI13" s="76"/>
    </row>
    <row r="14" spans="1:52" ht="20.25" thickTop="1" thickBot="1">
      <c r="A14" s="19"/>
      <c r="B14" s="79" t="s">
        <v>34</v>
      </c>
      <c r="C14" s="75">
        <f>IFERROR(INDEX(Data!$B$4:$E$6,MATCH($C$12,Data!$B$4:$B$6,0),MATCH($C$13,Data!$B$4:$E$4,0)),"NA")</f>
        <v>94.311786567164177</v>
      </c>
      <c r="D14" s="154" t="str">
        <f>IF(C13="IMO LCA",Data!E8,IF(C13="EU Reference","FuelEU Regulation (EU) 2023/1805 Article 4",""))</f>
        <v>VLSFO Values from MEPC 81/16/Add.1, Annex 10, Appendix 2 (pg 49)</v>
      </c>
      <c r="E14" s="154"/>
      <c r="F14" s="87"/>
      <c r="G14" s="6"/>
      <c r="H14" s="88"/>
      <c r="I14" s="88"/>
      <c r="J14" s="88"/>
      <c r="K14" s="88"/>
      <c r="L14" s="88"/>
      <c r="M14" s="88"/>
      <c r="N14" s="88"/>
      <c r="O14" s="88"/>
      <c r="P14" s="88"/>
      <c r="Q14" s="88"/>
      <c r="R14" s="149" t="s">
        <v>35</v>
      </c>
      <c r="S14" s="149" t="s">
        <v>36</v>
      </c>
      <c r="T14" s="104"/>
      <c r="U14" s="104"/>
      <c r="V14" s="103"/>
      <c r="W14" s="103"/>
      <c r="X14" s="103"/>
      <c r="Y14" s="103"/>
      <c r="Z14" s="103"/>
      <c r="AA14" s="103"/>
      <c r="AB14" s="103"/>
      <c r="AC14" s="103"/>
      <c r="AD14" s="103"/>
      <c r="AE14" s="105"/>
      <c r="AF14" s="76"/>
      <c r="AG14" s="76"/>
      <c r="AH14" s="76"/>
      <c r="AI14" s="76"/>
      <c r="AJ14" s="76"/>
      <c r="AK14" s="76"/>
      <c r="AL14" s="76"/>
      <c r="AM14" s="76"/>
      <c r="AN14" s="76"/>
      <c r="AO14" s="76"/>
      <c r="AP14" s="76"/>
      <c r="AQ14" s="76"/>
      <c r="AR14" s="76"/>
      <c r="AS14" s="76"/>
      <c r="AT14" s="76"/>
      <c r="AU14" s="76"/>
      <c r="AV14" s="76"/>
      <c r="AW14" s="76"/>
      <c r="AX14" s="76"/>
      <c r="AY14" s="76"/>
      <c r="AZ14" s="76"/>
    </row>
    <row r="15" spans="1:52" ht="19.5" thickTop="1">
      <c r="A15" s="19"/>
      <c r="B15" s="80"/>
      <c r="C15" s="19"/>
      <c r="D15" s="19"/>
      <c r="E15" s="19"/>
      <c r="F15" s="87"/>
      <c r="G15" s="6"/>
      <c r="H15" s="88"/>
      <c r="I15" s="88"/>
      <c r="J15" s="88"/>
      <c r="K15" s="88"/>
      <c r="L15" s="88"/>
      <c r="M15" s="88"/>
      <c r="N15" s="88"/>
      <c r="O15" s="88"/>
      <c r="P15" s="88"/>
      <c r="Q15" s="88"/>
      <c r="R15" s="149" t="s">
        <v>37</v>
      </c>
      <c r="S15" s="149" t="s">
        <v>38</v>
      </c>
      <c r="T15" s="104"/>
      <c r="U15" s="104"/>
      <c r="V15" s="103"/>
      <c r="W15" s="103"/>
      <c r="X15" s="103"/>
      <c r="Y15" s="103"/>
      <c r="Z15" s="103"/>
      <c r="AA15" s="103"/>
      <c r="AB15" s="103"/>
      <c r="AC15" s="103"/>
      <c r="AD15" s="103"/>
      <c r="AE15" s="105"/>
      <c r="AF15" s="76"/>
      <c r="AG15" s="76"/>
      <c r="AH15" s="76"/>
      <c r="AI15" s="76"/>
      <c r="AJ15" s="76"/>
      <c r="AK15" s="76"/>
      <c r="AL15" s="76"/>
      <c r="AM15" s="76"/>
      <c r="AN15" s="76"/>
      <c r="AO15" s="76"/>
      <c r="AP15" s="76"/>
      <c r="AQ15" s="76"/>
      <c r="AR15" s="76"/>
      <c r="AS15" s="76"/>
      <c r="AT15" s="76"/>
      <c r="AU15" s="76"/>
      <c r="AV15" s="76"/>
      <c r="AW15" s="76"/>
      <c r="AX15" s="76"/>
      <c r="AY15" s="76"/>
      <c r="AZ15" s="76"/>
    </row>
    <row r="16" spans="1:52" ht="17.100000000000001" customHeight="1" thickBot="1">
      <c r="A16" s="19"/>
      <c r="B16" s="78" t="s">
        <v>39</v>
      </c>
      <c r="C16" s="12"/>
      <c r="D16" s="81"/>
      <c r="E16" s="81"/>
      <c r="F16" s="87"/>
      <c r="G16" s="6"/>
      <c r="H16" s="88"/>
      <c r="I16" s="88"/>
      <c r="J16" s="88"/>
      <c r="K16" s="88"/>
      <c r="L16" s="88"/>
      <c r="M16" s="88"/>
      <c r="N16" s="88"/>
      <c r="O16" s="88"/>
      <c r="P16" s="88"/>
      <c r="Q16" s="88"/>
      <c r="R16" s="149" t="s">
        <v>40</v>
      </c>
      <c r="S16" s="149" t="s">
        <v>41</v>
      </c>
      <c r="T16" s="104"/>
      <c r="U16" s="104"/>
      <c r="V16" s="103"/>
      <c r="W16" s="103"/>
      <c r="X16" s="103"/>
      <c r="Y16" s="103"/>
      <c r="Z16" s="103"/>
      <c r="AA16" s="103"/>
      <c r="AB16" s="103"/>
      <c r="AC16" s="103"/>
      <c r="AD16" s="103"/>
      <c r="AE16" s="105"/>
      <c r="AF16" s="76"/>
      <c r="AG16" s="76"/>
      <c r="AH16" s="76"/>
      <c r="AI16" s="76"/>
      <c r="AJ16" s="76"/>
      <c r="AK16" s="76"/>
      <c r="AL16" s="76"/>
      <c r="AM16" s="76"/>
      <c r="AN16" s="76"/>
      <c r="AO16" s="76"/>
      <c r="AP16" s="76"/>
      <c r="AQ16" s="76"/>
      <c r="AR16" s="76"/>
      <c r="AS16" s="76"/>
      <c r="AT16" s="76"/>
      <c r="AU16" s="76"/>
      <c r="AV16" s="76"/>
      <c r="AW16" s="76"/>
      <c r="AX16" s="76"/>
      <c r="AY16" s="76"/>
      <c r="AZ16" s="76"/>
    </row>
    <row r="17" spans="1:52" ht="35.450000000000003" customHeight="1" thickTop="1" thickBot="1">
      <c r="A17" s="19"/>
      <c r="B17" s="79" t="s">
        <v>42</v>
      </c>
      <c r="C17" s="10" t="s">
        <v>16</v>
      </c>
      <c r="D17" s="154" t="s">
        <v>43</v>
      </c>
      <c r="E17" s="154"/>
      <c r="F17" s="87"/>
      <c r="G17" s="88"/>
      <c r="H17" s="88"/>
      <c r="I17" s="88"/>
      <c r="J17" s="88"/>
      <c r="K17" s="88"/>
      <c r="L17" s="88"/>
      <c r="M17" s="88"/>
      <c r="N17" s="88"/>
      <c r="O17" s="88"/>
      <c r="P17" s="88"/>
      <c r="Q17" s="88"/>
      <c r="R17" s="149" t="s">
        <v>13</v>
      </c>
      <c r="S17" s="149"/>
      <c r="T17" s="104"/>
      <c r="U17" s="104"/>
      <c r="V17" s="103"/>
      <c r="W17" s="103"/>
      <c r="X17" s="103"/>
      <c r="Y17" s="103"/>
      <c r="Z17" s="103"/>
      <c r="AA17" s="103"/>
      <c r="AB17" s="103"/>
      <c r="AC17" s="103"/>
      <c r="AD17" s="103"/>
      <c r="AE17" s="105"/>
      <c r="AF17" s="76"/>
      <c r="AG17" s="76"/>
      <c r="AH17" s="76"/>
      <c r="AI17" s="76"/>
      <c r="AJ17" s="76"/>
      <c r="AK17" s="76"/>
      <c r="AL17" s="76"/>
      <c r="AM17" s="76"/>
      <c r="AN17" s="76"/>
      <c r="AO17" s="76"/>
      <c r="AP17" s="76"/>
      <c r="AQ17" s="76"/>
      <c r="AR17" s="76"/>
      <c r="AS17" s="76"/>
      <c r="AT17" s="76"/>
      <c r="AU17" s="76"/>
      <c r="AV17" s="76"/>
      <c r="AW17" s="76"/>
      <c r="AX17" s="76"/>
      <c r="AY17" s="76"/>
      <c r="AZ17" s="76"/>
    </row>
    <row r="18" spans="1:52" ht="19.5" thickTop="1">
      <c r="A18" s="19"/>
      <c r="B18" s="80"/>
      <c r="C18" s="19"/>
      <c r="D18" s="81"/>
      <c r="E18" s="81"/>
      <c r="F18" s="87"/>
      <c r="G18" s="88"/>
      <c r="H18" s="88"/>
      <c r="I18" s="88"/>
      <c r="J18" s="88"/>
      <c r="K18" s="88"/>
      <c r="L18" s="88"/>
      <c r="M18" s="88"/>
      <c r="N18" s="88"/>
      <c r="O18" s="88"/>
      <c r="P18" s="88"/>
      <c r="Q18" s="88"/>
      <c r="R18" s="149" t="s">
        <v>44</v>
      </c>
      <c r="S18" s="104"/>
      <c r="T18" s="104"/>
      <c r="U18" s="104"/>
      <c r="V18" s="103"/>
      <c r="W18" s="103"/>
      <c r="X18" s="103"/>
      <c r="Y18" s="103"/>
      <c r="Z18" s="103"/>
      <c r="AA18" s="103"/>
      <c r="AB18" s="103"/>
      <c r="AC18" s="103"/>
      <c r="AD18" s="103"/>
      <c r="AE18" s="105"/>
      <c r="AF18" s="76"/>
      <c r="AG18" s="76"/>
      <c r="AH18" s="76"/>
      <c r="AI18" s="76"/>
      <c r="AJ18" s="76"/>
      <c r="AK18" s="76"/>
      <c r="AL18" s="76"/>
      <c r="AM18" s="76"/>
      <c r="AN18" s="76"/>
      <c r="AO18" s="76"/>
      <c r="AP18" s="76"/>
      <c r="AQ18" s="76"/>
      <c r="AR18" s="76"/>
      <c r="AS18" s="76"/>
      <c r="AT18" s="76"/>
      <c r="AU18" s="76"/>
      <c r="AV18" s="76"/>
      <c r="AW18" s="76"/>
      <c r="AX18" s="76"/>
      <c r="AY18" s="76"/>
      <c r="AZ18" s="76"/>
    </row>
    <row r="19" spans="1:52" ht="19.5" thickBot="1">
      <c r="A19" s="19"/>
      <c r="B19" s="78" t="str">
        <f>IF(C12="WtW","GHG levy [USD/tonne CO2e (WtW)]","GHG levy [USD/tonne CO2e (TtW)]")</f>
        <v>GHG levy [USD/tonne CO2e (WtW)]</v>
      </c>
      <c r="C19" s="12"/>
      <c r="D19" s="81"/>
      <c r="E19" s="81"/>
      <c r="F19" s="87"/>
      <c r="G19" s="88"/>
      <c r="H19" s="88"/>
      <c r="I19" s="88"/>
      <c r="J19" s="88"/>
      <c r="K19" s="88"/>
      <c r="L19" s="88"/>
      <c r="M19" s="88"/>
      <c r="N19" s="88"/>
      <c r="O19" s="88"/>
      <c r="P19" s="88"/>
      <c r="Q19" s="88"/>
      <c r="R19" s="149" t="s">
        <v>45</v>
      </c>
      <c r="S19" s="149"/>
      <c r="T19" s="104"/>
      <c r="U19" s="104"/>
      <c r="V19" s="103"/>
      <c r="W19" s="103"/>
      <c r="X19" s="103"/>
      <c r="Y19" s="103"/>
      <c r="Z19" s="103"/>
      <c r="AA19" s="103"/>
      <c r="AB19" s="103"/>
      <c r="AC19" s="103"/>
      <c r="AD19" s="103"/>
      <c r="AE19" s="105"/>
      <c r="AF19" s="76"/>
      <c r="AG19" s="76"/>
      <c r="AH19" s="76"/>
      <c r="AI19" s="76"/>
      <c r="AJ19" s="76"/>
      <c r="AK19" s="76"/>
      <c r="AL19" s="76"/>
      <c r="AM19" s="76"/>
      <c r="AN19" s="76"/>
      <c r="AO19" s="76"/>
      <c r="AP19" s="76"/>
      <c r="AQ19" s="76"/>
      <c r="AR19" s="76"/>
      <c r="AS19" s="76"/>
      <c r="AT19" s="76"/>
      <c r="AU19" s="76"/>
      <c r="AV19" s="76"/>
      <c r="AW19" s="76"/>
      <c r="AX19" s="76"/>
      <c r="AY19" s="76"/>
      <c r="AZ19" s="76"/>
    </row>
    <row r="20" spans="1:52" ht="20.25" thickTop="1" thickBot="1">
      <c r="A20" s="19"/>
      <c r="B20" s="79" t="s">
        <v>46</v>
      </c>
      <c r="C20" s="10" t="s">
        <v>32</v>
      </c>
      <c r="D20" s="157" t="str">
        <f>IF(C20="Enter my own","",IF(C20="No Levy ($0)","","Source: "&amp;INDEX(Data!$B$13:$C$24,MATCH('CCC Summary'!$C$20,Parameters,0),2)))</f>
        <v>Source: ISWG-GHG 17-2-5 (Bahamas, Liberia, and ICS)</v>
      </c>
      <c r="E20" s="154"/>
      <c r="F20" s="87"/>
      <c r="G20" s="88"/>
      <c r="H20" s="88"/>
      <c r="I20" s="88"/>
      <c r="J20" s="88"/>
      <c r="K20" s="88"/>
      <c r="L20" s="88"/>
      <c r="M20" s="88"/>
      <c r="N20" s="88"/>
      <c r="O20" s="88"/>
      <c r="P20" s="88"/>
      <c r="Q20" s="88"/>
      <c r="R20" s="149" t="s">
        <v>47</v>
      </c>
      <c r="S20" s="149"/>
      <c r="T20" s="104"/>
      <c r="U20" s="104"/>
      <c r="V20" s="103"/>
      <c r="W20" s="103"/>
      <c r="X20" s="103"/>
      <c r="Y20" s="103"/>
      <c r="Z20" s="103"/>
      <c r="AA20" s="103"/>
      <c r="AB20" s="103"/>
      <c r="AC20" s="103"/>
      <c r="AD20" s="103"/>
      <c r="AE20" s="105"/>
      <c r="AF20" s="76"/>
      <c r="AG20" s="76"/>
      <c r="AH20" s="76"/>
      <c r="AI20" s="76"/>
      <c r="AJ20" s="76"/>
      <c r="AK20" s="76"/>
      <c r="AL20" s="76"/>
      <c r="AM20" s="76"/>
      <c r="AN20" s="76"/>
      <c r="AO20" s="76"/>
      <c r="AP20" s="76"/>
      <c r="AQ20" s="76"/>
      <c r="AR20" s="76"/>
      <c r="AS20" s="76"/>
      <c r="AT20" s="76"/>
      <c r="AU20" s="76"/>
      <c r="AV20" s="76"/>
      <c r="AW20" s="76"/>
      <c r="AX20" s="76"/>
      <c r="AY20" s="76"/>
      <c r="AZ20" s="76"/>
    </row>
    <row r="21" spans="1:52" ht="20.25" thickTop="1" thickBot="1">
      <c r="A21" s="19"/>
      <c r="B21" s="79" t="str">
        <f>IF(C20="Enter my own","Enter Levy [USD/tCO2e] -&gt;","")</f>
        <v/>
      </c>
      <c r="C21" s="11">
        <v>50</v>
      </c>
      <c r="D21" s="81"/>
      <c r="E21" s="81"/>
      <c r="F21" s="87"/>
      <c r="G21" s="88"/>
      <c r="H21" s="88"/>
      <c r="I21" s="88"/>
      <c r="J21" s="88"/>
      <c r="K21" s="88"/>
      <c r="L21" s="88"/>
      <c r="M21" s="88"/>
      <c r="N21" s="88"/>
      <c r="O21" s="88"/>
      <c r="P21" s="88"/>
      <c r="Q21" s="88"/>
      <c r="R21" s="149" t="s">
        <v>48</v>
      </c>
      <c r="S21" s="104"/>
      <c r="T21" s="104"/>
      <c r="U21" s="104"/>
      <c r="V21" s="103"/>
      <c r="W21" s="103"/>
      <c r="X21" s="103"/>
      <c r="Y21" s="103"/>
      <c r="Z21" s="103"/>
      <c r="AA21" s="103"/>
      <c r="AB21" s="103"/>
      <c r="AC21" s="103"/>
      <c r="AD21" s="103"/>
      <c r="AE21" s="105"/>
      <c r="AF21" s="76"/>
      <c r="AG21" s="76"/>
      <c r="AH21" s="76"/>
      <c r="AI21" s="76"/>
      <c r="AJ21" s="76"/>
      <c r="AK21" s="76"/>
      <c r="AL21" s="76"/>
      <c r="AM21" s="76"/>
      <c r="AN21" s="76"/>
      <c r="AO21" s="76"/>
      <c r="AP21" s="76"/>
      <c r="AQ21" s="76"/>
      <c r="AR21" s="76"/>
      <c r="AS21" s="76"/>
      <c r="AT21" s="76"/>
      <c r="AU21" s="76"/>
      <c r="AV21" s="76"/>
      <c r="AW21" s="76"/>
      <c r="AX21" s="76"/>
      <c r="AY21" s="76"/>
      <c r="AZ21" s="76"/>
    </row>
    <row r="22" spans="1:52" ht="19.5" thickTop="1">
      <c r="A22" s="19"/>
      <c r="B22" s="80"/>
      <c r="C22" s="19"/>
      <c r="D22" s="81"/>
      <c r="E22" s="81"/>
      <c r="F22" s="87"/>
      <c r="G22" s="88"/>
      <c r="H22" s="88"/>
      <c r="I22" s="88"/>
      <c r="J22" s="88"/>
      <c r="K22" s="88"/>
      <c r="L22" s="88"/>
      <c r="M22" s="88"/>
      <c r="N22" s="88"/>
      <c r="O22" s="88"/>
      <c r="P22" s="88"/>
      <c r="Q22" s="88"/>
      <c r="R22" s="149" t="s">
        <v>49</v>
      </c>
      <c r="S22" s="104"/>
      <c r="T22" s="104"/>
      <c r="U22" s="104"/>
      <c r="V22" s="103"/>
      <c r="W22" s="103"/>
      <c r="X22" s="103"/>
      <c r="Y22" s="103"/>
      <c r="Z22" s="103"/>
      <c r="AA22" s="103"/>
      <c r="AB22" s="103"/>
      <c r="AC22" s="103"/>
      <c r="AD22" s="103"/>
      <c r="AE22" s="105"/>
      <c r="AF22" s="76"/>
      <c r="AG22" s="76"/>
      <c r="AH22" s="76"/>
      <c r="AI22" s="76"/>
      <c r="AJ22" s="76"/>
      <c r="AK22" s="76"/>
      <c r="AL22" s="76"/>
      <c r="AM22" s="76"/>
      <c r="AN22" s="76"/>
      <c r="AO22" s="76"/>
      <c r="AP22" s="76"/>
      <c r="AQ22" s="76"/>
      <c r="AR22" s="76"/>
      <c r="AS22" s="76"/>
      <c r="AT22" s="76"/>
      <c r="AU22" s="76"/>
      <c r="AV22" s="76"/>
      <c r="AW22" s="76"/>
      <c r="AX22" s="76"/>
      <c r="AY22" s="76"/>
      <c r="AZ22" s="76"/>
    </row>
    <row r="23" spans="1:52" ht="19.5" thickBot="1">
      <c r="A23" s="19"/>
      <c r="B23" s="78" t="s">
        <v>50</v>
      </c>
      <c r="C23" s="20"/>
      <c r="D23" s="81"/>
      <c r="E23" s="81"/>
      <c r="F23" s="87"/>
      <c r="G23" s="88"/>
      <c r="H23" s="88"/>
      <c r="I23" s="88"/>
      <c r="J23" s="88"/>
      <c r="K23" s="88"/>
      <c r="L23" s="88"/>
      <c r="M23" s="88"/>
      <c r="N23" s="88"/>
      <c r="O23" s="88"/>
      <c r="P23" s="88"/>
      <c r="Q23" s="88"/>
      <c r="R23" s="149" t="s">
        <v>51</v>
      </c>
      <c r="S23" s="104"/>
      <c r="T23" s="104"/>
      <c r="U23" s="104"/>
      <c r="V23" s="103"/>
      <c r="W23" s="103"/>
      <c r="X23" s="103"/>
      <c r="Y23" s="103"/>
      <c r="Z23" s="103"/>
      <c r="AA23" s="103"/>
      <c r="AB23" s="103"/>
      <c r="AC23" s="103"/>
      <c r="AD23" s="103"/>
      <c r="AE23" s="105"/>
      <c r="AF23" s="76"/>
      <c r="AG23" s="76"/>
      <c r="AH23" s="76"/>
      <c r="AI23" s="76"/>
      <c r="AJ23" s="76"/>
      <c r="AK23" s="76"/>
      <c r="AL23" s="76"/>
      <c r="AM23" s="76"/>
      <c r="AN23" s="76"/>
      <c r="AO23" s="76"/>
      <c r="AP23" s="76"/>
      <c r="AQ23" s="76"/>
      <c r="AR23" s="76"/>
      <c r="AS23" s="76"/>
      <c r="AT23" s="76"/>
      <c r="AU23" s="76"/>
      <c r="AV23" s="76"/>
      <c r="AW23" s="76"/>
      <c r="AX23" s="76"/>
      <c r="AY23" s="76"/>
      <c r="AZ23" s="76"/>
    </row>
    <row r="24" spans="1:52" ht="20.25" thickTop="1" thickBot="1">
      <c r="A24" s="19"/>
      <c r="B24" s="79" t="s">
        <v>52</v>
      </c>
      <c r="C24" s="13">
        <v>600</v>
      </c>
      <c r="D24" s="154" t="s">
        <v>53</v>
      </c>
      <c r="E24" s="154"/>
      <c r="F24" s="87"/>
      <c r="G24" s="88"/>
      <c r="H24" s="88"/>
      <c r="I24" s="88"/>
      <c r="J24" s="88"/>
      <c r="K24" s="88"/>
      <c r="L24" s="88"/>
      <c r="M24" s="88"/>
      <c r="N24" s="88"/>
      <c r="O24" s="88"/>
      <c r="P24" s="88"/>
      <c r="Q24" s="88"/>
      <c r="R24" s="149" t="s">
        <v>49</v>
      </c>
      <c r="S24" s="104"/>
      <c r="T24" s="104"/>
      <c r="U24" s="104"/>
      <c r="V24" s="103"/>
      <c r="W24" s="103"/>
      <c r="X24" s="103"/>
      <c r="Y24" s="103"/>
      <c r="Z24" s="103"/>
      <c r="AA24" s="103"/>
      <c r="AB24" s="103"/>
      <c r="AC24" s="103"/>
      <c r="AD24" s="103"/>
      <c r="AE24" s="105"/>
      <c r="AF24" s="76"/>
      <c r="AG24" s="76"/>
      <c r="AH24" s="76"/>
      <c r="AI24" s="76"/>
      <c r="AJ24" s="76"/>
      <c r="AK24" s="76"/>
      <c r="AL24" s="76"/>
      <c r="AM24" s="76"/>
      <c r="AN24" s="76"/>
      <c r="AO24" s="76"/>
      <c r="AP24" s="76"/>
      <c r="AQ24" s="76"/>
      <c r="AR24" s="76"/>
      <c r="AS24" s="76"/>
      <c r="AT24" s="76"/>
      <c r="AU24" s="76"/>
      <c r="AV24" s="76"/>
      <c r="AW24" s="76"/>
      <c r="AX24" s="76"/>
      <c r="AY24" s="76"/>
      <c r="AZ24" s="76"/>
    </row>
    <row r="25" spans="1:52" ht="19.5" thickTop="1">
      <c r="A25" s="19"/>
      <c r="B25" s="80"/>
      <c r="C25" s="101" t="s">
        <v>54</v>
      </c>
      <c r="D25" s="81"/>
      <c r="E25" s="81"/>
      <c r="F25" s="87"/>
      <c r="G25" s="88"/>
      <c r="H25" s="88"/>
      <c r="I25" s="88"/>
      <c r="J25" s="88"/>
      <c r="K25" s="88"/>
      <c r="L25" s="88"/>
      <c r="M25" s="88"/>
      <c r="N25" s="88"/>
      <c r="O25" s="88"/>
      <c r="P25" s="88"/>
      <c r="Q25" s="88"/>
      <c r="R25" s="149" t="s">
        <v>55</v>
      </c>
      <c r="S25" s="104"/>
      <c r="T25" s="104"/>
      <c r="U25" s="104"/>
      <c r="V25" s="103"/>
      <c r="W25" s="103"/>
      <c r="X25" s="103"/>
      <c r="Y25" s="103"/>
      <c r="Z25" s="103"/>
      <c r="AA25" s="103"/>
      <c r="AB25" s="103"/>
      <c r="AC25" s="103"/>
      <c r="AD25" s="103"/>
      <c r="AE25" s="105"/>
      <c r="AF25" s="76"/>
      <c r="AG25" s="76"/>
      <c r="AH25" s="76"/>
      <c r="AI25" s="76"/>
      <c r="AJ25" s="76"/>
      <c r="AK25" s="76"/>
      <c r="AL25" s="76"/>
      <c r="AM25" s="76"/>
      <c r="AN25" s="76"/>
      <c r="AO25" s="76"/>
      <c r="AP25" s="76"/>
      <c r="AQ25" s="76"/>
      <c r="AR25" s="76"/>
      <c r="AS25" s="76"/>
      <c r="AT25" s="76"/>
      <c r="AU25" s="76"/>
      <c r="AV25" s="76"/>
      <c r="AW25" s="76"/>
      <c r="AX25" s="76"/>
      <c r="AY25" s="76"/>
      <c r="AZ25" s="76"/>
    </row>
    <row r="26" spans="1:52" ht="15" customHeight="1" thickBot="1">
      <c r="A26" s="19"/>
      <c r="B26" s="78" t="s">
        <v>56</v>
      </c>
      <c r="C26" s="81"/>
      <c r="D26" s="81"/>
      <c r="E26" s="19"/>
      <c r="F26" s="87"/>
      <c r="G26" s="88"/>
      <c r="H26" s="88"/>
      <c r="I26" s="88"/>
      <c r="J26" s="88"/>
      <c r="K26" s="88"/>
      <c r="L26" s="88"/>
      <c r="M26" s="88"/>
      <c r="N26" s="88"/>
      <c r="O26" s="88"/>
      <c r="P26" s="88"/>
      <c r="Q26" s="88"/>
      <c r="R26" s="149" t="s">
        <v>57</v>
      </c>
      <c r="S26" s="104"/>
      <c r="T26" s="104"/>
      <c r="U26" s="104"/>
      <c r="V26" s="103"/>
      <c r="W26" s="103"/>
      <c r="X26" s="103"/>
      <c r="Y26" s="103"/>
      <c r="Z26" s="103"/>
      <c r="AA26" s="103"/>
      <c r="AB26" s="103"/>
      <c r="AC26" s="103"/>
      <c r="AD26" s="103"/>
      <c r="AE26" s="105"/>
      <c r="AF26" s="76"/>
      <c r="AG26" s="76"/>
      <c r="AH26" s="76"/>
      <c r="AI26" s="76"/>
      <c r="AJ26" s="76"/>
      <c r="AK26" s="76"/>
      <c r="AL26" s="76"/>
      <c r="AM26" s="76"/>
      <c r="AN26" s="76"/>
      <c r="AO26" s="76"/>
      <c r="AP26" s="76"/>
      <c r="AQ26" s="76"/>
      <c r="AR26" s="76"/>
      <c r="AS26" s="76"/>
      <c r="AT26" s="76"/>
      <c r="AU26" s="76"/>
      <c r="AV26" s="76"/>
      <c r="AW26" s="76"/>
      <c r="AX26" s="76"/>
      <c r="AY26" s="76"/>
      <c r="AZ26" s="76"/>
    </row>
    <row r="27" spans="1:52" ht="67.5" customHeight="1" thickTop="1" thickBot="1">
      <c r="A27" s="19"/>
      <c r="B27" s="79" t="s">
        <v>58</v>
      </c>
      <c r="C27" s="113" t="s">
        <v>47</v>
      </c>
      <c r="D27" s="154" t="s">
        <v>59</v>
      </c>
      <c r="E27" s="154"/>
      <c r="F27" s="87"/>
      <c r="G27" s="88"/>
      <c r="H27" s="88"/>
      <c r="I27" s="88"/>
      <c r="J27" s="88"/>
      <c r="K27" s="88"/>
      <c r="L27" s="88"/>
      <c r="M27" s="88"/>
      <c r="N27" s="88"/>
      <c r="O27" s="88"/>
      <c r="P27" s="88"/>
      <c r="Q27" s="88"/>
      <c r="R27" s="149" t="s">
        <v>60</v>
      </c>
      <c r="S27" s="104"/>
      <c r="T27" s="104"/>
      <c r="U27" s="104"/>
      <c r="V27" s="103"/>
      <c r="W27" s="103"/>
      <c r="X27" s="103"/>
      <c r="Y27" s="103"/>
      <c r="Z27" s="103"/>
      <c r="AA27" s="103"/>
      <c r="AB27" s="103"/>
      <c r="AC27" s="103"/>
      <c r="AD27" s="103"/>
      <c r="AE27" s="105"/>
      <c r="AF27" s="76"/>
      <c r="AG27" s="76"/>
      <c r="AH27" s="76"/>
      <c r="AI27" s="76"/>
      <c r="AJ27" s="76"/>
      <c r="AK27" s="76"/>
      <c r="AL27" s="76"/>
      <c r="AM27" s="76"/>
      <c r="AN27" s="76"/>
      <c r="AO27" s="76"/>
      <c r="AP27" s="76"/>
      <c r="AQ27" s="76"/>
      <c r="AR27" s="76"/>
      <c r="AS27" s="76"/>
      <c r="AT27" s="76"/>
      <c r="AU27" s="76"/>
      <c r="AV27" s="76"/>
      <c r="AW27" s="76"/>
      <c r="AX27" s="76"/>
      <c r="AY27" s="76"/>
      <c r="AZ27" s="76"/>
    </row>
    <row r="28" spans="1:52" ht="17.100000000000001" customHeight="1" thickTop="1">
      <c r="A28" s="19"/>
      <c r="B28" s="79"/>
      <c r="C28" s="79"/>
      <c r="D28" s="79"/>
      <c r="E28" s="73"/>
      <c r="F28" s="87"/>
      <c r="G28" s="88"/>
      <c r="H28" s="88"/>
      <c r="I28" s="88"/>
      <c r="J28" s="88"/>
      <c r="K28" s="88"/>
      <c r="L28" s="88"/>
      <c r="M28" s="88"/>
      <c r="N28" s="88"/>
      <c r="O28" s="88"/>
      <c r="P28" s="88"/>
      <c r="Q28" s="88"/>
      <c r="R28" s="149" t="s">
        <v>49</v>
      </c>
      <c r="S28" s="104"/>
      <c r="T28" s="104"/>
      <c r="U28" s="104"/>
      <c r="V28" s="103"/>
      <c r="W28" s="103"/>
      <c r="X28" s="103"/>
      <c r="Y28" s="103"/>
      <c r="Z28" s="103"/>
      <c r="AA28" s="103"/>
      <c r="AB28" s="103"/>
      <c r="AC28" s="103"/>
      <c r="AD28" s="103"/>
      <c r="AE28" s="105"/>
      <c r="AF28" s="76"/>
      <c r="AG28" s="76"/>
      <c r="AH28" s="76"/>
      <c r="AI28" s="76"/>
      <c r="AJ28" s="76"/>
      <c r="AK28" s="76"/>
      <c r="AL28" s="76"/>
      <c r="AM28" s="76"/>
      <c r="AN28" s="76"/>
      <c r="AO28" s="76"/>
      <c r="AP28" s="76"/>
      <c r="AQ28" s="76"/>
      <c r="AR28" s="76"/>
      <c r="AS28" s="76"/>
      <c r="AT28" s="76"/>
      <c r="AU28" s="76"/>
      <c r="AV28" s="76"/>
      <c r="AW28" s="76"/>
      <c r="AX28" s="76"/>
      <c r="AY28" s="76"/>
      <c r="AZ28" s="76"/>
    </row>
    <row r="29" spans="1:52" ht="17.100000000000001" customHeight="1" thickBot="1">
      <c r="A29" s="19"/>
      <c r="B29" s="78" t="s">
        <v>61</v>
      </c>
      <c r="C29" s="79"/>
      <c r="D29" s="79"/>
      <c r="E29" s="73"/>
      <c r="F29" s="87"/>
      <c r="G29" s="88"/>
      <c r="H29" s="88"/>
      <c r="I29" s="88"/>
      <c r="J29" s="88"/>
      <c r="K29" s="88"/>
      <c r="L29" s="88"/>
      <c r="M29" s="88"/>
      <c r="N29" s="88"/>
      <c r="O29" s="88"/>
      <c r="P29" s="88"/>
      <c r="Q29" s="88"/>
      <c r="R29" s="149" t="s">
        <v>62</v>
      </c>
      <c r="S29" s="104"/>
      <c r="T29" s="104"/>
      <c r="U29" s="104"/>
      <c r="V29" s="103"/>
      <c r="W29" s="103"/>
      <c r="X29" s="103"/>
      <c r="Y29" s="103"/>
      <c r="Z29" s="103"/>
      <c r="AA29" s="103"/>
      <c r="AB29" s="103"/>
      <c r="AC29" s="103"/>
      <c r="AD29" s="103"/>
      <c r="AE29" s="105"/>
      <c r="AF29" s="76"/>
      <c r="AG29" s="76"/>
      <c r="AH29" s="76"/>
      <c r="AI29" s="76"/>
      <c r="AJ29" s="76"/>
      <c r="AK29" s="76"/>
      <c r="AL29" s="76"/>
      <c r="AM29" s="76"/>
      <c r="AN29" s="76"/>
      <c r="AO29" s="76"/>
      <c r="AP29" s="76"/>
      <c r="AQ29" s="76"/>
      <c r="AR29" s="76"/>
      <c r="AS29" s="76"/>
      <c r="AT29" s="76"/>
      <c r="AU29" s="76"/>
      <c r="AV29" s="76"/>
      <c r="AW29" s="76"/>
      <c r="AX29" s="76"/>
      <c r="AY29" s="76"/>
      <c r="AZ29" s="76"/>
    </row>
    <row r="30" spans="1:52" ht="19.5" customHeight="1" thickTop="1" thickBot="1">
      <c r="A30" s="19"/>
      <c r="B30" s="99" t="s">
        <v>63</v>
      </c>
      <c r="C30" s="10" t="s">
        <v>10</v>
      </c>
      <c r="D30" s="157" t="s">
        <v>64</v>
      </c>
      <c r="E30" s="154"/>
      <c r="F30" s="87"/>
      <c r="G30" s="88"/>
      <c r="H30" s="88"/>
      <c r="I30" s="88"/>
      <c r="J30" s="88"/>
      <c r="K30" s="88"/>
      <c r="L30" s="88"/>
      <c r="M30" s="88"/>
      <c r="N30" s="88"/>
      <c r="O30" s="88"/>
      <c r="P30" s="88"/>
      <c r="Q30" s="88"/>
      <c r="R30" s="149" t="s">
        <v>49</v>
      </c>
      <c r="S30" s="104"/>
      <c r="T30" s="104"/>
      <c r="U30" s="104"/>
      <c r="V30" s="103"/>
      <c r="W30" s="103"/>
      <c r="X30" s="103"/>
      <c r="Y30" s="103"/>
      <c r="Z30" s="103"/>
      <c r="AA30" s="103"/>
      <c r="AB30" s="103"/>
      <c r="AC30" s="103"/>
      <c r="AD30" s="103"/>
      <c r="AE30" s="105"/>
      <c r="AF30" s="76"/>
      <c r="AG30" s="76"/>
      <c r="AH30" s="76"/>
      <c r="AI30" s="76"/>
      <c r="AJ30" s="82"/>
      <c r="AK30" s="82"/>
      <c r="AL30" s="82"/>
      <c r="AO30" s="82"/>
      <c r="AP30" s="82"/>
      <c r="AQ30" s="82"/>
      <c r="AR30" s="82"/>
      <c r="AS30" s="82"/>
    </row>
    <row r="31" spans="1:52" ht="19.5" customHeight="1" thickTop="1" thickBot="1">
      <c r="A31" s="19"/>
      <c r="B31" s="99" t="s">
        <v>65</v>
      </c>
      <c r="C31" s="10" t="s">
        <v>10</v>
      </c>
      <c r="D31" s="157"/>
      <c r="E31" s="154"/>
      <c r="F31" s="87"/>
      <c r="G31" s="88"/>
      <c r="H31" s="88"/>
      <c r="I31" s="88"/>
      <c r="J31" s="88"/>
      <c r="K31" s="88"/>
      <c r="L31" s="88"/>
      <c r="M31" s="88"/>
      <c r="N31" s="88"/>
      <c r="O31" s="88"/>
      <c r="P31" s="88"/>
      <c r="Q31" s="88"/>
      <c r="R31" s="149" t="s">
        <v>66</v>
      </c>
      <c r="S31" s="104"/>
      <c r="T31" s="104"/>
      <c r="U31" s="104"/>
      <c r="V31" s="103"/>
      <c r="W31" s="103"/>
      <c r="X31" s="103"/>
      <c r="Y31" s="103"/>
      <c r="Z31" s="103"/>
      <c r="AA31" s="103"/>
      <c r="AB31" s="103"/>
      <c r="AC31" s="103"/>
      <c r="AD31" s="103"/>
      <c r="AE31" s="105"/>
      <c r="AF31" s="76"/>
      <c r="AG31" s="76"/>
      <c r="AH31" s="76"/>
      <c r="AI31" s="76"/>
      <c r="AJ31" s="82"/>
      <c r="AK31" s="82"/>
      <c r="AL31" s="82"/>
      <c r="AO31" s="82"/>
      <c r="AP31" s="82"/>
      <c r="AQ31" s="82"/>
      <c r="AR31" s="82"/>
      <c r="AS31" s="82"/>
    </row>
    <row r="32" spans="1:52" ht="19.5" customHeight="1" thickTop="1" thickBot="1">
      <c r="A32" s="19"/>
      <c r="B32" s="99" t="s">
        <v>67</v>
      </c>
      <c r="C32" s="10" t="s">
        <v>21</v>
      </c>
      <c r="D32" s="157"/>
      <c r="E32" s="154"/>
      <c r="F32" s="87"/>
      <c r="G32" s="88"/>
      <c r="H32" s="88"/>
      <c r="I32" s="88"/>
      <c r="J32" s="88"/>
      <c r="K32" s="88"/>
      <c r="L32" s="88"/>
      <c r="M32" s="88"/>
      <c r="N32" s="88"/>
      <c r="O32" s="88"/>
      <c r="P32" s="88"/>
      <c r="Q32" s="88"/>
      <c r="R32" s="149" t="s">
        <v>68</v>
      </c>
      <c r="S32" s="104"/>
      <c r="T32" s="104"/>
      <c r="U32" s="104"/>
      <c r="V32" s="103"/>
      <c r="W32" s="103"/>
      <c r="X32" s="103"/>
      <c r="Y32" s="103"/>
      <c r="Z32" s="103"/>
      <c r="AA32" s="103"/>
      <c r="AB32" s="103"/>
      <c r="AC32" s="103"/>
      <c r="AD32" s="103"/>
      <c r="AE32" s="105"/>
      <c r="AF32" s="76"/>
      <c r="AG32" s="76"/>
      <c r="AH32" s="76"/>
      <c r="AI32" s="76"/>
      <c r="AJ32" s="82"/>
      <c r="AK32" s="82"/>
      <c r="AL32" s="82"/>
      <c r="AO32" s="82"/>
      <c r="AP32" s="82"/>
      <c r="AQ32" s="82"/>
      <c r="AR32" s="82"/>
      <c r="AS32" s="82"/>
    </row>
    <row r="33" spans="1:45" ht="17.100000000000001" customHeight="1" thickTop="1">
      <c r="A33" s="19"/>
      <c r="B33" s="79"/>
      <c r="C33" s="79"/>
      <c r="D33" s="79"/>
      <c r="E33" s="73"/>
      <c r="F33" s="87"/>
      <c r="G33" s="88"/>
      <c r="H33" s="88"/>
      <c r="I33" s="88"/>
      <c r="J33" s="88"/>
      <c r="K33" s="88"/>
      <c r="L33" s="88"/>
      <c r="M33" s="88"/>
      <c r="N33" s="88"/>
      <c r="O33" s="88"/>
      <c r="P33" s="88"/>
      <c r="Q33" s="88"/>
      <c r="R33" s="149" t="s">
        <v>69</v>
      </c>
      <c r="S33" s="104"/>
      <c r="T33" s="104"/>
      <c r="U33" s="104"/>
      <c r="V33" s="103"/>
      <c r="W33" s="103"/>
      <c r="X33" s="103"/>
      <c r="Y33" s="103"/>
      <c r="Z33" s="103"/>
      <c r="AA33" s="103"/>
      <c r="AB33" s="103"/>
      <c r="AC33" s="103"/>
      <c r="AD33" s="103"/>
      <c r="AE33" s="105"/>
      <c r="AF33" s="76"/>
      <c r="AG33" s="76"/>
      <c r="AH33" s="76"/>
      <c r="AI33" s="76"/>
      <c r="AJ33" s="82"/>
      <c r="AK33" s="82"/>
      <c r="AL33" s="82"/>
      <c r="AO33" s="82"/>
      <c r="AP33" s="82"/>
      <c r="AQ33" s="82"/>
      <c r="AR33" s="82"/>
      <c r="AS33" s="82"/>
    </row>
    <row r="34" spans="1:45" ht="18.75">
      <c r="A34" s="19"/>
      <c r="B34" s="7" t="s">
        <v>70</v>
      </c>
      <c r="C34" s="8"/>
      <c r="D34" s="9" t="s">
        <v>71</v>
      </c>
      <c r="E34" s="8"/>
      <c r="F34" s="8"/>
      <c r="G34" s="88"/>
      <c r="H34" s="88"/>
      <c r="I34" s="88"/>
      <c r="J34" s="88"/>
      <c r="K34" s="88"/>
      <c r="L34" s="88"/>
      <c r="M34" s="88"/>
      <c r="N34" s="88"/>
      <c r="O34" s="88"/>
      <c r="P34" s="88"/>
      <c r="Q34" s="88"/>
      <c r="R34" s="149" t="s">
        <v>72</v>
      </c>
      <c r="S34" s="104"/>
      <c r="T34" s="104"/>
      <c r="U34" s="104"/>
      <c r="V34" s="103"/>
      <c r="W34" s="103"/>
      <c r="X34" s="103"/>
      <c r="Y34" s="103"/>
      <c r="Z34" s="103"/>
      <c r="AA34" s="103"/>
      <c r="AB34" s="103"/>
      <c r="AC34" s="103"/>
      <c r="AD34" s="103"/>
      <c r="AE34" s="105"/>
      <c r="AF34" s="76"/>
      <c r="AG34" s="76"/>
      <c r="AH34" s="76"/>
      <c r="AI34" s="76"/>
    </row>
    <row r="35" spans="1:45" ht="19.5" thickBot="1">
      <c r="A35" s="19"/>
      <c r="B35" s="78" t="s">
        <v>73</v>
      </c>
      <c r="C35" s="12"/>
      <c r="D35" s="19"/>
      <c r="E35" s="19"/>
      <c r="F35" s="87"/>
      <c r="G35" s="88"/>
      <c r="H35" s="88"/>
      <c r="I35" s="88"/>
      <c r="J35" s="88"/>
      <c r="K35" s="88"/>
      <c r="L35" s="88"/>
      <c r="M35" s="88"/>
      <c r="N35" s="88"/>
      <c r="O35" s="88"/>
      <c r="P35" s="88"/>
      <c r="Q35" s="88"/>
      <c r="R35" s="149" t="s">
        <v>74</v>
      </c>
      <c r="S35" s="104"/>
      <c r="T35" s="104"/>
      <c r="U35" s="104"/>
      <c r="V35" s="103"/>
      <c r="W35" s="103"/>
      <c r="X35" s="103"/>
      <c r="Y35" s="103"/>
      <c r="Z35" s="103"/>
      <c r="AA35" s="103"/>
      <c r="AB35" s="103"/>
      <c r="AC35" s="103"/>
      <c r="AD35" s="104"/>
      <c r="AE35" s="105"/>
      <c r="AF35" s="76"/>
      <c r="AG35" s="76"/>
      <c r="AH35" s="76"/>
      <c r="AI35" s="76"/>
    </row>
    <row r="36" spans="1:45" ht="20.25" thickTop="1" thickBot="1">
      <c r="A36" s="19"/>
      <c r="B36" s="79" t="s">
        <v>75</v>
      </c>
      <c r="C36" s="10" t="s">
        <v>48</v>
      </c>
      <c r="D36" s="100" t="s">
        <v>76</v>
      </c>
      <c r="E36" s="19"/>
      <c r="F36" s="87"/>
      <c r="G36" s="88"/>
      <c r="H36" s="88"/>
      <c r="I36" s="88"/>
      <c r="J36" s="88"/>
      <c r="K36" s="88"/>
      <c r="L36" s="88"/>
      <c r="M36" s="88"/>
      <c r="N36" s="88"/>
      <c r="O36" s="88"/>
      <c r="P36" s="88"/>
      <c r="Q36" s="88"/>
      <c r="R36" s="149" t="s">
        <v>49</v>
      </c>
      <c r="S36" s="104"/>
      <c r="T36" s="104"/>
      <c r="U36" s="104"/>
      <c r="V36" s="103"/>
      <c r="W36" s="103"/>
      <c r="X36" s="103"/>
      <c r="Y36" s="103"/>
      <c r="Z36" s="103"/>
      <c r="AA36" s="103"/>
      <c r="AB36" s="103"/>
      <c r="AC36" s="103"/>
      <c r="AD36" s="104"/>
      <c r="AE36" s="105"/>
      <c r="AF36" s="76"/>
      <c r="AG36" s="76"/>
      <c r="AH36" s="76"/>
      <c r="AI36" s="76"/>
      <c r="AK36" s="83"/>
      <c r="AL36" s="83"/>
      <c r="AM36" s="83"/>
      <c r="AN36" s="83"/>
      <c r="AO36" s="84" t="s">
        <v>77</v>
      </c>
      <c r="AP36" s="83"/>
      <c r="AQ36" s="83"/>
      <c r="AR36" s="83"/>
      <c r="AS36" s="83"/>
    </row>
    <row r="37" spans="1:45" ht="20.25" thickTop="1" thickBot="1">
      <c r="A37" s="19"/>
      <c r="B37" s="79" t="str">
        <f>IF(C36="Enter fixed price","Enter fixed LSFO price [USD/tonne LSFO] -&gt;","")</f>
        <v/>
      </c>
      <c r="C37" s="10">
        <v>600</v>
      </c>
      <c r="D37" s="17"/>
      <c r="E37" s="19"/>
      <c r="F37" s="87"/>
      <c r="G37" s="88"/>
      <c r="H37" s="88"/>
      <c r="I37" s="88"/>
      <c r="J37" s="88"/>
      <c r="K37" s="88"/>
      <c r="L37" s="88"/>
      <c r="M37" s="88"/>
      <c r="N37" s="88"/>
      <c r="O37" s="88"/>
      <c r="P37" s="88"/>
      <c r="Q37" s="88"/>
      <c r="R37" s="150"/>
      <c r="S37" s="104"/>
      <c r="T37" s="104"/>
      <c r="U37" s="104"/>
      <c r="V37" s="103"/>
      <c r="W37" s="103"/>
      <c r="X37" s="103"/>
      <c r="Y37" s="103"/>
      <c r="Z37" s="103"/>
      <c r="AA37" s="103"/>
      <c r="AB37" s="103"/>
      <c r="AC37" s="103"/>
      <c r="AD37" s="104"/>
      <c r="AE37" s="105"/>
      <c r="AF37" s="76"/>
      <c r="AG37" s="76"/>
      <c r="AH37" s="76"/>
      <c r="AI37" s="76"/>
      <c r="AK37" s="83"/>
      <c r="AL37" s="83"/>
      <c r="AM37" s="83"/>
      <c r="AN37" s="83"/>
      <c r="AO37" s="85"/>
      <c r="AP37" s="85">
        <v>2027</v>
      </c>
      <c r="AQ37" s="85">
        <v>2032</v>
      </c>
      <c r="AR37" s="85">
        <v>2037</v>
      </c>
      <c r="AS37" s="83"/>
    </row>
    <row r="38" spans="1:45" ht="19.5" thickTop="1">
      <c r="A38" s="19"/>
      <c r="B38" s="80"/>
      <c r="C38" s="19"/>
      <c r="D38" s="19"/>
      <c r="E38" s="19"/>
      <c r="F38" s="87"/>
      <c r="G38" s="88"/>
      <c r="H38" s="88"/>
      <c r="I38" s="88"/>
      <c r="J38" s="88"/>
      <c r="K38" s="88"/>
      <c r="L38" s="88"/>
      <c r="M38" s="88"/>
      <c r="N38" s="88"/>
      <c r="O38" s="88"/>
      <c r="P38" s="88"/>
      <c r="Q38" s="88"/>
      <c r="R38" s="150"/>
      <c r="S38" s="104"/>
      <c r="T38" s="104"/>
      <c r="U38" s="104"/>
      <c r="V38" s="103"/>
      <c r="W38" s="103"/>
      <c r="X38" s="103"/>
      <c r="Y38" s="103"/>
      <c r="Z38" s="103"/>
      <c r="AA38" s="103"/>
      <c r="AB38" s="103"/>
      <c r="AC38" s="103"/>
      <c r="AD38" s="104"/>
      <c r="AE38" s="105"/>
      <c r="AF38" s="76"/>
      <c r="AG38" s="76"/>
      <c r="AH38" s="76"/>
      <c r="AI38" s="76"/>
      <c r="AK38" s="83"/>
      <c r="AL38" s="83"/>
      <c r="AM38" s="83"/>
      <c r="AN38" s="83"/>
      <c r="AO38" s="83"/>
      <c r="AP38" s="83"/>
      <c r="AQ38" s="83"/>
      <c r="AR38" s="83"/>
      <c r="AS38" s="83"/>
    </row>
    <row r="39" spans="1:45" ht="19.5" thickBot="1">
      <c r="A39" s="19"/>
      <c r="B39" s="78" t="s">
        <v>78</v>
      </c>
      <c r="C39" s="12"/>
      <c r="D39" s="19"/>
      <c r="E39" s="19"/>
      <c r="F39" s="87"/>
      <c r="G39" s="88"/>
      <c r="H39" s="88"/>
      <c r="I39" s="88"/>
      <c r="J39" s="88"/>
      <c r="K39" s="88"/>
      <c r="L39" s="88"/>
      <c r="M39" s="88"/>
      <c r="N39" s="88"/>
      <c r="O39" s="88"/>
      <c r="P39" s="88"/>
      <c r="Q39" s="88"/>
      <c r="R39" s="150"/>
      <c r="S39" s="104"/>
      <c r="T39" s="104"/>
      <c r="U39" s="104"/>
      <c r="V39" s="103"/>
      <c r="W39" s="103"/>
      <c r="X39" s="103"/>
      <c r="Y39" s="103"/>
      <c r="Z39" s="103"/>
      <c r="AA39" s="103"/>
      <c r="AB39" s="103"/>
      <c r="AC39" s="103"/>
      <c r="AD39" s="104"/>
      <c r="AE39" s="105"/>
      <c r="AF39" s="76"/>
      <c r="AG39" s="76"/>
      <c r="AH39" s="76"/>
      <c r="AI39" s="76"/>
    </row>
    <row r="40" spans="1:45" ht="22.5" customHeight="1" thickTop="1" thickBot="1">
      <c r="A40" s="19"/>
      <c r="B40" s="99" t="s">
        <v>79</v>
      </c>
      <c r="C40" s="15" t="s">
        <v>55</v>
      </c>
      <c r="D40" s="100" t="s">
        <v>80</v>
      </c>
      <c r="E40" s="19"/>
      <c r="F40" s="87"/>
      <c r="G40" s="88"/>
      <c r="H40" s="88"/>
      <c r="I40" s="88"/>
      <c r="J40" s="88"/>
      <c r="K40" s="88"/>
      <c r="L40" s="88"/>
      <c r="M40" s="88"/>
      <c r="N40" s="88"/>
      <c r="O40" s="88"/>
      <c r="P40" s="88"/>
      <c r="Q40" s="88"/>
      <c r="R40" s="150"/>
      <c r="S40" s="104"/>
      <c r="T40" s="104"/>
      <c r="U40" s="104"/>
      <c r="V40" s="103"/>
      <c r="W40" s="103"/>
      <c r="X40" s="103"/>
      <c r="Y40" s="103"/>
      <c r="Z40" s="103"/>
      <c r="AA40" s="103"/>
      <c r="AB40" s="103"/>
      <c r="AC40" s="103"/>
      <c r="AD40" s="104"/>
      <c r="AE40" s="105"/>
      <c r="AF40" s="76"/>
      <c r="AG40" s="76"/>
      <c r="AH40" s="76"/>
      <c r="AI40" s="76"/>
    </row>
    <row r="41" spans="1:45" ht="22.5" customHeight="1" thickTop="1" thickBot="1">
      <c r="A41" s="19"/>
      <c r="B41" s="79" t="str">
        <f>IF(C40="Enter Fixed Price","Enter fixed bio-diesel price [USD/tLSFOeq] -&gt;","")</f>
        <v/>
      </c>
      <c r="C41" s="14">
        <v>1400</v>
      </c>
      <c r="D41" s="19"/>
      <c r="E41" s="19"/>
      <c r="F41" s="87"/>
      <c r="G41" s="88"/>
      <c r="H41" s="88"/>
      <c r="I41" s="88"/>
      <c r="J41" s="88"/>
      <c r="K41" s="88"/>
      <c r="L41" s="88"/>
      <c r="M41" s="88"/>
      <c r="N41" s="88"/>
      <c r="O41" s="88"/>
      <c r="P41" s="88"/>
      <c r="Q41" s="88"/>
      <c r="R41" s="150"/>
      <c r="S41" s="104"/>
      <c r="T41" s="104"/>
      <c r="U41" s="104"/>
      <c r="V41" s="103"/>
      <c r="W41" s="103"/>
      <c r="X41" s="103"/>
      <c r="Y41" s="103"/>
      <c r="Z41" s="103"/>
      <c r="AA41" s="103"/>
      <c r="AB41" s="103"/>
      <c r="AC41" s="103"/>
      <c r="AD41" s="104"/>
      <c r="AE41" s="105"/>
      <c r="AF41" s="76"/>
      <c r="AG41" s="76"/>
      <c r="AH41" s="76"/>
      <c r="AI41" s="76"/>
    </row>
    <row r="42" spans="1:45" ht="19.5" thickTop="1">
      <c r="A42" s="19"/>
      <c r="B42" s="80"/>
      <c r="C42" s="19"/>
      <c r="D42" s="19"/>
      <c r="E42" s="19"/>
      <c r="F42" s="87"/>
      <c r="G42" s="88"/>
      <c r="H42" s="88"/>
      <c r="I42" s="88"/>
      <c r="J42" s="88"/>
      <c r="K42" s="88"/>
      <c r="L42" s="88"/>
      <c r="M42" s="88"/>
      <c r="N42" s="88"/>
      <c r="O42" s="88"/>
      <c r="P42" s="88"/>
      <c r="Q42" s="88"/>
      <c r="R42" s="150"/>
      <c r="S42" s="104"/>
      <c r="T42" s="104"/>
      <c r="U42" s="104"/>
      <c r="V42" s="103"/>
      <c r="W42" s="103"/>
      <c r="X42" s="103"/>
      <c r="Y42" s="103"/>
      <c r="Z42" s="103"/>
      <c r="AA42" s="103"/>
      <c r="AB42" s="103"/>
      <c r="AC42" s="103"/>
      <c r="AD42" s="104"/>
      <c r="AE42" s="105"/>
      <c r="AF42" s="76"/>
      <c r="AG42" s="76"/>
      <c r="AH42" s="76"/>
      <c r="AI42" s="76"/>
      <c r="AK42" s="83"/>
      <c r="AL42" s="83"/>
      <c r="AM42" s="83"/>
      <c r="AN42" s="83"/>
      <c r="AO42" s="83"/>
      <c r="AP42" s="83"/>
      <c r="AQ42" s="83"/>
      <c r="AR42" s="83"/>
      <c r="AS42" s="83"/>
    </row>
    <row r="43" spans="1:45" ht="19.5" customHeight="1">
      <c r="A43" s="19"/>
      <c r="B43" s="7" t="s">
        <v>81</v>
      </c>
      <c r="C43" s="8"/>
      <c r="D43" s="9" t="s">
        <v>18</v>
      </c>
      <c r="E43" s="8"/>
      <c r="F43" s="8"/>
      <c r="G43" s="88"/>
      <c r="H43" s="88"/>
      <c r="I43" s="88"/>
      <c r="J43" s="88"/>
      <c r="K43" s="88"/>
      <c r="L43" s="88"/>
      <c r="M43" s="88"/>
      <c r="N43" s="88"/>
      <c r="O43" s="88"/>
      <c r="P43" s="88"/>
      <c r="Q43" s="88"/>
      <c r="R43" s="150"/>
      <c r="S43" s="104"/>
      <c r="T43" s="104"/>
      <c r="U43" s="104"/>
      <c r="V43" s="103"/>
      <c r="W43" s="103"/>
      <c r="X43" s="103"/>
      <c r="Y43" s="103"/>
      <c r="Z43" s="103"/>
      <c r="AA43" s="103"/>
      <c r="AB43" s="103"/>
      <c r="AC43" s="103"/>
      <c r="AD43" s="104"/>
      <c r="AE43" s="105"/>
      <c r="AF43" s="76"/>
      <c r="AG43" s="76"/>
      <c r="AH43" s="76"/>
      <c r="AI43" s="76"/>
    </row>
    <row r="44" spans="1:45" ht="19.5" thickBot="1">
      <c r="A44" s="19"/>
      <c r="B44" s="78" t="s">
        <v>82</v>
      </c>
      <c r="C44" s="12"/>
      <c r="D44" s="19"/>
      <c r="E44" s="19"/>
      <c r="F44" s="87"/>
      <c r="G44" s="88"/>
      <c r="H44" s="88"/>
      <c r="I44" s="88"/>
      <c r="J44" s="88"/>
      <c r="K44" s="88"/>
      <c r="L44" s="88"/>
      <c r="M44" s="88"/>
      <c r="N44" s="88"/>
      <c r="O44" s="88"/>
      <c r="P44" s="88"/>
      <c r="Q44" s="88"/>
      <c r="R44" s="150"/>
      <c r="S44" s="104"/>
      <c r="T44" s="104"/>
      <c r="U44" s="104"/>
      <c r="V44" s="103"/>
      <c r="W44" s="103"/>
      <c r="X44" s="103"/>
      <c r="Y44" s="103"/>
      <c r="Z44" s="103"/>
      <c r="AA44" s="103"/>
      <c r="AB44" s="103"/>
      <c r="AC44" s="103"/>
      <c r="AD44" s="104"/>
      <c r="AE44" s="105"/>
      <c r="AF44" s="76"/>
      <c r="AG44" s="76"/>
      <c r="AH44" s="76"/>
      <c r="AI44" s="76"/>
      <c r="AK44" s="83"/>
      <c r="AL44" s="83"/>
      <c r="AM44" s="83"/>
      <c r="AN44" s="83"/>
      <c r="AO44" s="83"/>
      <c r="AP44" s="83"/>
      <c r="AQ44" s="83"/>
      <c r="AR44" s="83"/>
      <c r="AS44" s="83"/>
    </row>
    <row r="45" spans="1:45" ht="61.5" customHeight="1" thickTop="1" thickBot="1">
      <c r="A45" s="19"/>
      <c r="B45" s="78" t="s">
        <v>83</v>
      </c>
      <c r="C45" s="10" t="s">
        <v>68</v>
      </c>
      <c r="D45" s="154" t="s">
        <v>84</v>
      </c>
      <c r="E45" s="154"/>
      <c r="F45" s="87"/>
      <c r="G45" s="115" t="s">
        <v>85</v>
      </c>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5"/>
      <c r="AF45" s="76"/>
      <c r="AG45" s="76"/>
      <c r="AH45" s="76"/>
      <c r="AI45" s="76"/>
      <c r="AK45" s="83"/>
      <c r="AL45" s="83"/>
      <c r="AM45" s="83"/>
      <c r="AN45" s="83"/>
      <c r="AO45" s="83"/>
      <c r="AP45" s="83"/>
      <c r="AQ45" s="83"/>
      <c r="AR45" s="83"/>
      <c r="AS45" s="83"/>
    </row>
    <row r="46" spans="1:45" ht="17.25" thickTop="1" thickBot="1">
      <c r="A46" s="19"/>
      <c r="B46" s="78" t="s">
        <v>86</v>
      </c>
      <c r="C46" s="10" t="s">
        <v>51</v>
      </c>
      <c r="D46" s="100" t="s">
        <v>76</v>
      </c>
      <c r="E46" s="19"/>
      <c r="F46" s="87"/>
      <c r="G46" s="106"/>
      <c r="H46" s="107" t="s">
        <v>87</v>
      </c>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5"/>
      <c r="AF46" s="76"/>
      <c r="AG46" s="76"/>
      <c r="AH46" s="76"/>
      <c r="AI46" s="76"/>
    </row>
    <row r="47" spans="1:45" ht="17.25" thickTop="1" thickBot="1">
      <c r="A47" s="19"/>
      <c r="B47" s="79" t="str">
        <f>IF(C46="Enter Fixed Price","Enter fixed LNG price [USD/tLSFOeq] -&gt;","")</f>
        <v/>
      </c>
      <c r="C47" s="10">
        <v>600</v>
      </c>
      <c r="D47" s="17"/>
      <c r="E47" s="19"/>
      <c r="F47" s="87"/>
      <c r="G47" s="107"/>
      <c r="H47" s="107">
        <v>2027</v>
      </c>
      <c r="I47" s="107">
        <v>2028</v>
      </c>
      <c r="J47" s="107">
        <v>2029</v>
      </c>
      <c r="K47" s="107">
        <v>2030</v>
      </c>
      <c r="L47" s="107">
        <v>2031</v>
      </c>
      <c r="M47" s="107">
        <v>2032</v>
      </c>
      <c r="N47" s="107">
        <v>2033</v>
      </c>
      <c r="O47" s="107">
        <v>2034</v>
      </c>
      <c r="P47" s="107">
        <v>2035</v>
      </c>
      <c r="Q47" s="107">
        <v>2036</v>
      </c>
      <c r="R47" s="107">
        <v>2037</v>
      </c>
      <c r="S47" s="107">
        <v>2039</v>
      </c>
      <c r="T47" s="107">
        <v>2040</v>
      </c>
      <c r="U47" s="107">
        <v>2041</v>
      </c>
      <c r="V47" s="107">
        <v>2042</v>
      </c>
      <c r="W47" s="107">
        <v>2043</v>
      </c>
      <c r="X47" s="107">
        <v>2044</v>
      </c>
      <c r="Y47" s="107">
        <v>2045</v>
      </c>
      <c r="Z47" s="107">
        <v>2046</v>
      </c>
      <c r="AA47" s="107">
        <v>2047</v>
      </c>
      <c r="AB47" s="107">
        <v>2048</v>
      </c>
      <c r="AC47" s="107">
        <v>2049</v>
      </c>
      <c r="AD47" s="107">
        <v>2050</v>
      </c>
      <c r="AE47" s="105"/>
      <c r="AF47" s="76"/>
      <c r="AG47" s="76"/>
      <c r="AH47" s="76"/>
      <c r="AI47" s="76"/>
    </row>
    <row r="48" spans="1:45" ht="18.95" customHeight="1" thickTop="1">
      <c r="A48" s="19"/>
      <c r="B48" s="79"/>
      <c r="C48" s="81"/>
      <c r="D48" s="19"/>
      <c r="E48" s="19"/>
      <c r="F48" s="87"/>
      <c r="G48" s="108" t="s">
        <v>88</v>
      </c>
      <c r="H48" s="151">
        <f>Calculations!H71</f>
        <v>691.90122196459345</v>
      </c>
      <c r="I48" s="153">
        <f>Calculations!I71</f>
        <v>709.72785238728386</v>
      </c>
      <c r="J48" s="153">
        <f>Calculations!J71</f>
        <v>718.71422652048739</v>
      </c>
      <c r="K48" s="153">
        <f>Calculations!K71</f>
        <v>746.94069474566675</v>
      </c>
      <c r="L48" s="153">
        <f>Calculations!L71</f>
        <v>811.68078266469058</v>
      </c>
      <c r="M48" s="153">
        <f>Calculations!M71</f>
        <v>889.29524948129188</v>
      </c>
      <c r="N48" s="153">
        <f>Calculations!N71</f>
        <v>974.48004653041232</v>
      </c>
      <c r="O48" s="153">
        <f>Calculations!O71</f>
        <v>1067.2351738120512</v>
      </c>
      <c r="P48" s="153">
        <f>Calculations!P71</f>
        <v>1160.5360530628511</v>
      </c>
      <c r="Q48" s="153">
        <f>Calculations!Q71</f>
        <v>1272.5089453996793</v>
      </c>
      <c r="R48" s="153">
        <f>Calculations!R71</f>
        <v>1392.4650950726182</v>
      </c>
      <c r="S48" s="153">
        <f>Calculations!T71</f>
        <v>1656.3271664268289</v>
      </c>
      <c r="T48" s="153">
        <f>Calculations!U71</f>
        <v>1800.2330881081004</v>
      </c>
      <c r="U48" s="153">
        <f>Calculations!V71</f>
        <v>1899.5699587166523</v>
      </c>
      <c r="V48" s="153">
        <f>Calculations!W71</f>
        <v>2002.868963200146</v>
      </c>
      <c r="W48" s="153">
        <f>Calculations!X71</f>
        <v>2110.1301015585818</v>
      </c>
      <c r="X48" s="153">
        <f>Calculations!Y71</f>
        <v>2221.3533737919583</v>
      </c>
      <c r="Y48" s="153">
        <f>Calculations!Z71</f>
        <v>2336.5387799002774</v>
      </c>
      <c r="Z48" s="153">
        <f>Calculations!AA71</f>
        <v>2453.5538660007278</v>
      </c>
      <c r="AA48" s="153">
        <f>Calculations!AB71</f>
        <v>2574.4032752059607</v>
      </c>
      <c r="AB48" s="153">
        <f>Calculations!AC71</f>
        <v>2699.0870075159769</v>
      </c>
      <c r="AC48" s="153">
        <f>Calculations!AD71</f>
        <v>2807.5826633559036</v>
      </c>
      <c r="AD48" s="153">
        <f>Calculations!AE71</f>
        <v>2876.6754781950081</v>
      </c>
      <c r="AE48" s="105"/>
      <c r="AF48" s="76"/>
      <c r="AG48" s="76"/>
      <c r="AH48" s="76"/>
      <c r="AI48" s="76"/>
    </row>
    <row r="49" spans="1:36" ht="16.5" thickBot="1">
      <c r="A49" s="19"/>
      <c r="B49" s="78" t="s">
        <v>89</v>
      </c>
      <c r="C49" s="12"/>
      <c r="D49" s="19"/>
      <c r="E49" s="19"/>
      <c r="F49" s="87"/>
      <c r="G49" s="108" t="s">
        <v>81</v>
      </c>
      <c r="H49" s="151">
        <f>Calculations!H93</f>
        <v>518.84352752879317</v>
      </c>
      <c r="I49" s="151">
        <f>Calculations!I93</f>
        <v>493.7955826942341</v>
      </c>
      <c r="J49" s="151">
        <f>Calculations!J93</f>
        <v>459.90738157018791</v>
      </c>
      <c r="K49" s="151">
        <f>Calculations!K93</f>
        <v>445.25927453811266</v>
      </c>
      <c r="L49" s="151">
        <f>Calculations!L93</f>
        <v>496.5204323946441</v>
      </c>
      <c r="M49" s="151">
        <f>Calculations!M93</f>
        <v>578.97701929265747</v>
      </c>
      <c r="N49" s="151">
        <f>Calculations!N93</f>
        <v>679.97582817982197</v>
      </c>
      <c r="O49" s="151">
        <f>Calculations!O93</f>
        <v>785.91947936513827</v>
      </c>
      <c r="P49" s="151">
        <f>Calculations!P93</f>
        <v>887.18947088204084</v>
      </c>
      <c r="Q49" s="151">
        <f>Calculations!Q93</f>
        <v>1010.9256952348644</v>
      </c>
      <c r="R49" s="151">
        <f>Calculations!R93</f>
        <v>1141.1262152785553</v>
      </c>
      <c r="S49" s="151">
        <f>Calculations!T93</f>
        <v>1420.1558154850345</v>
      </c>
      <c r="T49" s="151">
        <f>Calculations!U93</f>
        <v>1568.7484034872441</v>
      </c>
      <c r="U49" s="151">
        <f>Calculations!V93</f>
        <v>1669.8734628064383</v>
      </c>
      <c r="V49" s="151">
        <f>Calculations!W93</f>
        <v>1767.8131271272184</v>
      </c>
      <c r="W49" s="151">
        <f>Calculations!X93</f>
        <v>1838.232982883035</v>
      </c>
      <c r="X49" s="151">
        <f>Calculations!Y93</f>
        <v>1908.6528386388516</v>
      </c>
      <c r="Y49" s="151">
        <f>Calculations!Z93</f>
        <v>1979.0726943946677</v>
      </c>
      <c r="Z49" s="151">
        <f>Calculations!AA93</f>
        <v>2047.3184986232843</v>
      </c>
      <c r="AA49" s="151">
        <f>Calculations!AB93</f>
        <v>2115.5643028519007</v>
      </c>
      <c r="AB49" s="151">
        <f>Calculations!AC93</f>
        <v>2183.8101070805174</v>
      </c>
      <c r="AC49" s="151">
        <f>Calculations!AD93</f>
        <v>2252.0559113091344</v>
      </c>
      <c r="AD49" s="151">
        <f>Calculations!AE93</f>
        <v>2320.3017155377511</v>
      </c>
      <c r="AE49" s="105"/>
      <c r="AF49" s="76"/>
      <c r="AG49" s="76"/>
      <c r="AH49" s="76"/>
      <c r="AI49" s="76"/>
    </row>
    <row r="50" spans="1:36" ht="30" customHeight="1" thickTop="1" thickBot="1">
      <c r="A50" s="19"/>
      <c r="B50" s="79" t="s">
        <v>75</v>
      </c>
      <c r="C50" s="15" t="s">
        <v>62</v>
      </c>
      <c r="D50" s="154" t="s">
        <v>90</v>
      </c>
      <c r="E50" s="154"/>
      <c r="F50" s="87"/>
      <c r="G50" s="108" t="s">
        <v>91</v>
      </c>
      <c r="H50" s="151">
        <f>Calculations!H116</f>
        <v>702.21922502604252</v>
      </c>
      <c r="I50" s="151">
        <f>Calculations!I116</f>
        <v>727.82927062850445</v>
      </c>
      <c r="J50" s="151">
        <f>Calculations!J116</f>
        <v>736.82205529777923</v>
      </c>
      <c r="K50" s="151">
        <f>Calculations!K116</f>
        <v>764.650678974681</v>
      </c>
      <c r="L50" s="151">
        <f>Calculations!L116</f>
        <v>825.07032572068897</v>
      </c>
      <c r="M50" s="151">
        <f>Calculations!M116</f>
        <v>891.53193714129782</v>
      </c>
      <c r="N50" s="151">
        <f>Calculations!N116</f>
        <v>957.99354856190678</v>
      </c>
      <c r="O50" s="151">
        <f>Calculations!O116</f>
        <v>1024.4551599825154</v>
      </c>
      <c r="P50" s="151">
        <f>Calculations!P116</f>
        <v>1084.8748067285235</v>
      </c>
      <c r="Q50" s="151">
        <f>Calculations!Q116</f>
        <v>1154.9615969538931</v>
      </c>
      <c r="R50" s="151">
        <f>Calculations!R116</f>
        <v>1225.0483871792624</v>
      </c>
      <c r="S50" s="151">
        <f>Calculations!T116</f>
        <v>1365.221967630001</v>
      </c>
      <c r="T50" s="151">
        <f>Calculations!U116</f>
        <v>1435.3087578553705</v>
      </c>
      <c r="U50" s="151">
        <f>Calculations!V116</f>
        <v>1472.7689388378953</v>
      </c>
      <c r="V50" s="151">
        <f>Calculations!W116</f>
        <v>1510.2291198204205</v>
      </c>
      <c r="W50" s="151">
        <f>Calculations!X116</f>
        <v>1547.6893008029454</v>
      </c>
      <c r="X50" s="151">
        <f>Calculations!Y116</f>
        <v>1585.1494817854705</v>
      </c>
      <c r="Y50" s="151">
        <f>Calculations!Z116</f>
        <v>1622.6096627679956</v>
      </c>
      <c r="Z50" s="151">
        <f>Calculations!AA116</f>
        <v>1658.8614508156002</v>
      </c>
      <c r="AA50" s="151">
        <f>Calculations!AB116</f>
        <v>1695.113238863205</v>
      </c>
      <c r="AB50" s="151">
        <f>Calculations!AC116</f>
        <v>1731.36502691081</v>
      </c>
      <c r="AC50" s="151">
        <f>Calculations!AD116</f>
        <v>1767.6168149584146</v>
      </c>
      <c r="AD50" s="151">
        <f>Calculations!AE116</f>
        <v>1803.8686030060196</v>
      </c>
      <c r="AE50" s="105"/>
      <c r="AF50" s="76"/>
      <c r="AG50" s="76"/>
      <c r="AH50" s="76"/>
      <c r="AI50" s="76"/>
    </row>
    <row r="51" spans="1:36" ht="17.25" thickTop="1" thickBot="1">
      <c r="A51" s="19"/>
      <c r="B51" s="79" t="str">
        <f>IF(C50="Enter Fixed Price","Enter fixed bio-methane price [USD/tLSFOeq] -&gt;","")</f>
        <v/>
      </c>
      <c r="C51" s="14">
        <v>1400</v>
      </c>
      <c r="D51" s="17"/>
      <c r="E51" s="19"/>
      <c r="F51" s="87"/>
      <c r="G51" s="108" t="s">
        <v>92</v>
      </c>
      <c r="H51" s="151">
        <f>Calculations!H136</f>
        <v>1001.4413138080627</v>
      </c>
      <c r="I51" s="152">
        <f>Calculations!I136</f>
        <v>960.36287418879829</v>
      </c>
      <c r="J51" s="152">
        <f>Calculations!J136</f>
        <v>910.44417828004748</v>
      </c>
      <c r="K51" s="152">
        <f>Calculations!K136</f>
        <v>879.76557646327296</v>
      </c>
      <c r="L51" s="152">
        <f>Calculations!L136</f>
        <v>882.56659884350552</v>
      </c>
      <c r="M51" s="152">
        <f>Calculations!M136</f>
        <v>898.24200012131564</v>
      </c>
      <c r="N51" s="152">
        <f>Calculations!N136</f>
        <v>921.48773163164446</v>
      </c>
      <c r="O51" s="152">
        <f>Calculations!O136</f>
        <v>952.30379337449244</v>
      </c>
      <c r="P51" s="152">
        <f>Calculations!P136</f>
        <v>983.66560708650115</v>
      </c>
      <c r="Q51" s="152">
        <f>Calculations!Q136</f>
        <v>1033.6994338845379</v>
      </c>
      <c r="R51" s="152">
        <f>Calculations!R136</f>
        <v>1091.7165180186853</v>
      </c>
      <c r="S51" s="152">
        <f>Calculations!T136</f>
        <v>1231.7004582953134</v>
      </c>
      <c r="T51" s="152">
        <f>Calculations!U136</f>
        <v>1313.6673144377937</v>
      </c>
      <c r="U51" s="152">
        <f>Calculations!V136</f>
        <v>1355.4893384746108</v>
      </c>
      <c r="V51" s="152">
        <f>Calculations!W136</f>
        <v>1401.27349638637</v>
      </c>
      <c r="W51" s="152">
        <f>Calculations!X136</f>
        <v>1451.0197881730705</v>
      </c>
      <c r="X51" s="152">
        <f>Calculations!Y136</f>
        <v>1504.728213834713</v>
      </c>
      <c r="Y51" s="152">
        <f>Calculations!Z136</f>
        <v>1562.3987733712966</v>
      </c>
      <c r="Z51" s="152">
        <f>Calculations!AA136</f>
        <v>1621.8990129000126</v>
      </c>
      <c r="AA51" s="152">
        <f>Calculations!AB136</f>
        <v>1685.2335755335109</v>
      </c>
      <c r="AB51" s="152">
        <f>Calculations!AC136</f>
        <v>1753.2590447718096</v>
      </c>
      <c r="AC51" s="152">
        <f>Calculations!AD136</f>
        <v>1822.3518596109141</v>
      </c>
      <c r="AD51" s="152">
        <f>Calculations!AE136</f>
        <v>1891.4446744500183</v>
      </c>
      <c r="AE51" s="105"/>
      <c r="AF51" s="76"/>
      <c r="AG51" s="76"/>
      <c r="AH51" s="76"/>
      <c r="AI51" s="76"/>
    </row>
    <row r="52" spans="1:36" ht="15.6" customHeight="1" thickTop="1">
      <c r="A52" s="19"/>
      <c r="B52" s="80"/>
      <c r="C52" s="19"/>
      <c r="D52" s="19"/>
      <c r="E52" s="19"/>
      <c r="F52" s="87"/>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5"/>
      <c r="AF52" s="76"/>
      <c r="AG52" s="76"/>
      <c r="AH52" s="76"/>
      <c r="AI52" s="76"/>
    </row>
    <row r="53" spans="1:36" ht="18.75">
      <c r="A53" s="19"/>
      <c r="B53" s="7" t="s">
        <v>93</v>
      </c>
      <c r="C53" s="8"/>
      <c r="D53" s="9" t="s">
        <v>94</v>
      </c>
      <c r="E53" s="8"/>
      <c r="F53" s="8"/>
      <c r="G53" s="109" t="str">
        <f>$C$11&amp;" - "&amp;G48</f>
        <v>2035 - Strategy 1: LSFO + bio-diesel (base case)</v>
      </c>
      <c r="H53" s="106"/>
      <c r="I53" s="106"/>
      <c r="J53" s="109" t="str">
        <f>$C$11&amp;" - "&amp;G49</f>
        <v>2035 - Strategy 2: LNG + bio-methane</v>
      </c>
      <c r="K53" s="106"/>
      <c r="L53" s="106"/>
      <c r="M53" s="109" t="str">
        <f>$C$11&amp;" - "&amp;G50</f>
        <v>2035 - Strategy 3: LSFO + ZNZ</v>
      </c>
      <c r="N53" s="106"/>
      <c r="O53" s="106"/>
      <c r="P53" s="109" t="str">
        <f>$C$11&amp;" - "&amp;G51</f>
        <v>2035 - Strategy 4: 100% ZNZ</v>
      </c>
      <c r="Q53" s="106"/>
      <c r="R53" s="110"/>
      <c r="S53" s="106"/>
      <c r="T53" s="106"/>
      <c r="U53" s="106"/>
      <c r="V53" s="106"/>
      <c r="W53" s="106"/>
      <c r="X53" s="106"/>
      <c r="Y53" s="106"/>
      <c r="Z53" s="106"/>
      <c r="AA53" s="106"/>
      <c r="AB53" s="106"/>
      <c r="AC53" s="106"/>
      <c r="AD53" s="106"/>
      <c r="AE53" s="105"/>
      <c r="AF53" s="76"/>
      <c r="AG53" s="76"/>
      <c r="AH53" s="76"/>
      <c r="AI53" s="76"/>
    </row>
    <row r="54" spans="1:36" ht="19.5" thickBot="1">
      <c r="A54" s="19"/>
      <c r="B54" s="78" t="s">
        <v>95</v>
      </c>
      <c r="C54" s="86"/>
      <c r="D54" s="19"/>
      <c r="E54" s="19"/>
      <c r="F54" s="87"/>
      <c r="G54" s="106" t="s">
        <v>96</v>
      </c>
      <c r="H54" s="151">
        <f>INDEX(Strategy1_table,MATCH(G54,Strategy1_rows,0),MATCH($C$11,Strategy1_years,0))</f>
        <v>547.6718446601941</v>
      </c>
      <c r="I54" s="106"/>
      <c r="J54" s="106" t="s">
        <v>97</v>
      </c>
      <c r="K54" s="151">
        <f>INDEX(Strategy2_table,MATCH(J54,Strategy_2_Rows,0),MATCH($C$11,Strategy2_years,0))</f>
        <v>463.32892947781846</v>
      </c>
      <c r="L54" s="106"/>
      <c r="M54" s="106" t="s">
        <v>96</v>
      </c>
      <c r="N54" s="151">
        <f>INDEX(Strategy3_table,MATCH(M54,Strategy3_Rows,0),MATCH($C$11,Strategy3_years,0))</f>
        <v>547.6718446601941</v>
      </c>
      <c r="O54" s="106"/>
      <c r="P54" s="106" t="s">
        <v>98</v>
      </c>
      <c r="Q54" s="151">
        <f>INDEX(Strategy4_table,MATCH(P54,Strategy4_rows,0),MATCH($C$11,Strategy4_years,0))</f>
        <v>1699.9999999999998</v>
      </c>
      <c r="R54" s="110"/>
      <c r="S54" s="106"/>
      <c r="T54" s="106"/>
      <c r="U54" s="106"/>
      <c r="V54" s="106"/>
      <c r="W54" s="106"/>
      <c r="X54" s="106"/>
      <c r="Y54" s="106"/>
      <c r="Z54" s="106"/>
      <c r="AA54" s="106"/>
      <c r="AB54" s="106"/>
      <c r="AC54" s="106"/>
      <c r="AD54" s="106"/>
      <c r="AE54" s="105"/>
      <c r="AF54" s="76"/>
      <c r="AG54" s="76"/>
      <c r="AH54" s="76"/>
      <c r="AI54" s="76"/>
    </row>
    <row r="55" spans="1:36" ht="18.95" customHeight="1" thickTop="1" thickBot="1">
      <c r="A55" s="19"/>
      <c r="B55" s="79" t="s">
        <v>99</v>
      </c>
      <c r="C55" s="16">
        <v>0.9</v>
      </c>
      <c r="D55" s="154" t="s">
        <v>100</v>
      </c>
      <c r="E55" s="154"/>
      <c r="F55" s="87"/>
      <c r="G55" s="106" t="s">
        <v>101</v>
      </c>
      <c r="H55" s="151">
        <f>INDEX(Strategy1_table,MATCH(G55,Strategy1_rows,0),MATCH($C$11,Strategy1_years,0))</f>
        <v>568.60162389635582</v>
      </c>
      <c r="I55" s="106"/>
      <c r="J55" s="106" t="s">
        <v>102</v>
      </c>
      <c r="K55" s="151">
        <f>INDEX(Strategy2_table,MATCH(J55,Strategy_2_Rows,0),MATCH($C$11,Strategy2_years,0))</f>
        <v>379.59795689792099</v>
      </c>
      <c r="L55" s="106"/>
      <c r="M55" s="106" t="s">
        <v>103</v>
      </c>
      <c r="N55" s="151">
        <f>INDEX(Strategy3_table,MATCH(M55,Strategy3_Rows,0),MATCH($C$11,Strategy3_years,0))</f>
        <v>492.94037756202823</v>
      </c>
      <c r="O55" s="106"/>
      <c r="P55" s="106" t="s">
        <v>104</v>
      </c>
      <c r="Q55" s="151">
        <f>INDEX(Strategy4_table,MATCH(P55,Strategy4_rows,0),MATCH($C$11,Strategy4_years,0))</f>
        <v>0</v>
      </c>
      <c r="R55" s="110"/>
      <c r="S55" s="106"/>
      <c r="T55" s="106"/>
      <c r="U55" s="106"/>
      <c r="V55" s="106"/>
      <c r="W55" s="106"/>
      <c r="X55" s="106"/>
      <c r="Y55" s="106"/>
      <c r="Z55" s="106"/>
      <c r="AA55" s="106"/>
      <c r="AB55" s="106"/>
      <c r="AC55" s="106"/>
      <c r="AD55" s="106"/>
      <c r="AE55" s="105"/>
      <c r="AF55" s="76"/>
      <c r="AG55" s="76"/>
      <c r="AH55" s="76"/>
      <c r="AI55" s="76"/>
    </row>
    <row r="56" spans="1:36" ht="18.95" customHeight="1" thickTop="1" thickBot="1">
      <c r="A56" s="19"/>
      <c r="B56" s="79" t="s">
        <v>105</v>
      </c>
      <c r="C56" s="11">
        <f>(1-C55)*$C$14</f>
        <v>9.4311786567164155</v>
      </c>
      <c r="D56" s="154" t="s">
        <v>106</v>
      </c>
      <c r="E56" s="154"/>
      <c r="F56" s="87"/>
      <c r="G56" s="111" t="s">
        <v>107</v>
      </c>
      <c r="H56" s="151">
        <f>INDEX(Strategy1_table,MATCH(G56,Strategy1_rows,0),MATCH($C$11,Strategy1_years,0))</f>
        <v>44.262584506301302</v>
      </c>
      <c r="I56" s="106"/>
      <c r="J56" s="111" t="s">
        <v>108</v>
      </c>
      <c r="K56" s="151">
        <f>INDEX(Strategy2_table,MATCH(J56,Strategy_2_Rows,0),MATCH($C$11,Strategy2_years,0))*-1</f>
        <v>0</v>
      </c>
      <c r="L56" s="106"/>
      <c r="M56" s="111" t="s">
        <v>107</v>
      </c>
      <c r="N56" s="151">
        <f>INDEX(Strategy3_table,MATCH(M56,Strategy3_Rows,0),MATCH($C$11,Strategy3_years,0))</f>
        <v>44.262584506301302</v>
      </c>
      <c r="O56" s="106"/>
      <c r="P56" s="106" t="s">
        <v>108</v>
      </c>
      <c r="Q56" s="151">
        <f>INDEX(Strategy4_table,MATCH(P56,Strategy4_rows,0),MATCH($C$11,Strategy4_years,0))*-1</f>
        <v>723.53156112590534</v>
      </c>
      <c r="R56" s="110"/>
      <c r="S56" s="106"/>
      <c r="T56" s="106"/>
      <c r="U56" s="106"/>
      <c r="V56" s="106"/>
      <c r="W56" s="106"/>
      <c r="X56" s="106"/>
      <c r="Y56" s="106"/>
      <c r="Z56" s="106"/>
      <c r="AA56" s="106"/>
      <c r="AB56" s="106"/>
      <c r="AC56" s="106"/>
      <c r="AD56" s="106"/>
      <c r="AE56" s="105"/>
      <c r="AF56" s="76"/>
      <c r="AG56" s="76"/>
      <c r="AH56" s="76"/>
      <c r="AI56" s="76"/>
    </row>
    <row r="57" spans="1:36" ht="24.6" customHeight="1" thickTop="1" thickBot="1">
      <c r="A57" s="19"/>
      <c r="B57" s="79" t="s">
        <v>109</v>
      </c>
      <c r="C57" s="15" t="s">
        <v>49</v>
      </c>
      <c r="D57" s="155" t="s">
        <v>110</v>
      </c>
      <c r="E57" s="156"/>
      <c r="F57" s="87"/>
      <c r="G57" s="111" t="s">
        <v>111</v>
      </c>
      <c r="H57" s="151">
        <f>INDEX(Strategy1_table,MATCH(G57,Strategy1_rows,0),MATCH($C$11,Strategy1_years,0))</f>
        <v>1160.5360530628511</v>
      </c>
      <c r="I57" s="106"/>
      <c r="J57" s="111" t="s">
        <v>107</v>
      </c>
      <c r="K57" s="151">
        <f>INDEX(Strategy2_table,MATCH(J57,Strategy_2_Rows,0),MATCH($C$11,Strategy2_years,0))</f>
        <v>44.262584506301302</v>
      </c>
      <c r="L57" s="106"/>
      <c r="M57" s="111" t="s">
        <v>112</v>
      </c>
      <c r="N57" s="151">
        <f>INDEX(Strategy3_table,MATCH(M57,Strategy3_Rows,0),MATCH($C$11,Strategy3_years,0))*-1</f>
        <v>0</v>
      </c>
      <c r="O57" s="106"/>
      <c r="P57" s="106" t="s">
        <v>112</v>
      </c>
      <c r="Q57" s="151">
        <f>INDEX(Strategy4_table,MATCH(P57,Strategy4_rows,0),MATCH($C$11,Strategy4_years,0))*-1</f>
        <v>0</v>
      </c>
      <c r="R57" s="110"/>
      <c r="S57" s="106"/>
      <c r="T57" s="106"/>
      <c r="U57" s="106"/>
      <c r="V57" s="106"/>
      <c r="W57" s="106"/>
      <c r="X57" s="106"/>
      <c r="Y57" s="106"/>
      <c r="Z57" s="106"/>
      <c r="AA57" s="106"/>
      <c r="AB57" s="106"/>
      <c r="AC57" s="106"/>
      <c r="AD57" s="106"/>
      <c r="AE57" s="105"/>
      <c r="AF57" s="76"/>
      <c r="AG57" s="76"/>
      <c r="AH57" s="76"/>
      <c r="AI57" s="76"/>
    </row>
    <row r="58" spans="1:36" ht="24" customHeight="1" thickTop="1" thickBot="1">
      <c r="A58" s="19"/>
      <c r="B58" s="79" t="str">
        <f>IF(C57="Enter Fixed Price","Enter fixed ZNZ price [USD/tLSFOeq] -&gt;","")</f>
        <v>Enter fixed ZNZ price [USD/tLSFOeq] -&gt;</v>
      </c>
      <c r="C58" s="14">
        <v>1700</v>
      </c>
      <c r="D58" s="154" t="str">
        <f>IF(Input_ZNZ_Cost_Source="Enter fixed price","The fixed price is fixed for the full length of analysis (2027 - 2050), simulating a fixed 24-year offtake agreement.", "")</f>
        <v>The fixed price is fixed for the full length of analysis (2027 - 2050), simulating a fixed 24-year offtake agreement.</v>
      </c>
      <c r="E58" s="154"/>
      <c r="F58" s="87"/>
      <c r="G58" s="112"/>
      <c r="H58" s="112"/>
      <c r="I58" s="106"/>
      <c r="J58" s="106" t="s">
        <v>113</v>
      </c>
      <c r="K58" s="151">
        <f>INDEX(Strategy2_table,MATCH(J58,Strategy_2_Rows,0),MATCH($C$11,Strategy2_years,0))</f>
        <v>887.18947088204084</v>
      </c>
      <c r="L58" s="106"/>
      <c r="M58" s="106" t="s">
        <v>114</v>
      </c>
      <c r="N58" s="151">
        <f>INDEX(Strategy3_table,MATCH(M58,Strategy3_Rows,0),MATCH($C$11,Strategy3_years,0))</f>
        <v>1084.8748067285235</v>
      </c>
      <c r="O58" s="106"/>
      <c r="P58" s="106" t="s">
        <v>107</v>
      </c>
      <c r="Q58" s="151">
        <f>INDEX(Strategy4_table,MATCH(P58,Strategy4_rows,0),MATCH($C$11,Strategy4_years,0))</f>
        <v>7.197168212406714</v>
      </c>
      <c r="R58" s="110"/>
      <c r="S58" s="106"/>
      <c r="T58" s="106"/>
      <c r="U58" s="106"/>
      <c r="V58" s="106"/>
      <c r="W58" s="106"/>
      <c r="X58" s="106"/>
      <c r="Y58" s="106"/>
      <c r="Z58" s="106"/>
      <c r="AA58" s="106"/>
      <c r="AB58" s="106"/>
      <c r="AC58" s="106"/>
      <c r="AD58" s="106"/>
      <c r="AE58" s="105"/>
      <c r="AF58" s="76"/>
      <c r="AG58" s="76"/>
      <c r="AH58" s="76"/>
      <c r="AI58" s="76"/>
    </row>
    <row r="59" spans="1:36" s="25" customFormat="1" ht="18.600000000000001" customHeight="1" thickTop="1">
      <c r="A59" s="18"/>
      <c r="B59" s="19"/>
      <c r="C59" s="19"/>
      <c r="D59" s="19"/>
      <c r="E59" s="19"/>
      <c r="F59" s="87"/>
      <c r="G59" s="106"/>
      <c r="H59" s="106"/>
      <c r="I59" s="106"/>
      <c r="J59" s="106"/>
      <c r="K59" s="106"/>
      <c r="L59" s="106"/>
      <c r="M59" s="106"/>
      <c r="N59" s="106"/>
      <c r="O59" s="106"/>
      <c r="P59" s="106" t="s">
        <v>115</v>
      </c>
      <c r="Q59" s="151">
        <f>INDEX(Strategy4_table,MATCH(P59,Strategy4_rows,0),MATCH($C$11,Strategy4_years,0))</f>
        <v>983.66560708650115</v>
      </c>
      <c r="R59" s="110"/>
      <c r="S59" s="106"/>
      <c r="T59" s="106"/>
      <c r="U59" s="106"/>
      <c r="V59" s="106"/>
      <c r="W59" s="106"/>
      <c r="X59" s="106"/>
      <c r="Y59" s="106"/>
      <c r="Z59" s="106"/>
      <c r="AA59" s="106"/>
      <c r="AB59" s="106"/>
      <c r="AC59" s="106"/>
      <c r="AD59" s="106"/>
      <c r="AE59" s="105"/>
      <c r="AF59" s="76"/>
      <c r="AG59" s="76"/>
      <c r="AH59" s="76"/>
      <c r="AI59" s="76"/>
      <c r="AJ59" s="24"/>
    </row>
    <row r="60" spans="1:36" s="25" customFormat="1" ht="33.6" customHeight="1">
      <c r="A60" s="24"/>
      <c r="B60" s="21" t="e" vm="1">
        <v>#VALUE!</v>
      </c>
      <c r="C60" s="24"/>
      <c r="D60" s="24"/>
      <c r="E60" s="24"/>
      <c r="F60" s="24"/>
      <c r="G60" s="24"/>
      <c r="H60" s="24"/>
      <c r="I60" s="24"/>
      <c r="J60" s="24"/>
      <c r="K60" s="24"/>
      <c r="L60" s="24"/>
      <c r="M60" s="24"/>
      <c r="N60" s="24"/>
      <c r="O60" s="24"/>
      <c r="R60" s="24"/>
      <c r="S60" s="24"/>
      <c r="T60" s="24"/>
      <c r="U60" s="24"/>
      <c r="V60" s="24"/>
      <c r="W60" s="24"/>
      <c r="X60" s="24"/>
      <c r="Y60" s="24"/>
      <c r="Z60" s="24"/>
      <c r="AA60" s="24"/>
      <c r="AB60" s="24"/>
      <c r="AC60" s="24"/>
      <c r="AD60" s="76"/>
      <c r="AE60" s="76"/>
      <c r="AF60" s="76"/>
      <c r="AG60" s="76"/>
      <c r="AH60" s="76"/>
      <c r="AI60" s="76"/>
    </row>
    <row r="61" spans="1:36">
      <c r="C61" s="24"/>
    </row>
    <row r="63" spans="1:36">
      <c r="C63" s="24"/>
    </row>
    <row r="64" spans="1:36">
      <c r="C64" s="24"/>
    </row>
    <row r="65" spans="3:7">
      <c r="C65" s="24"/>
    </row>
    <row r="66" spans="3:7">
      <c r="C66" s="24"/>
    </row>
    <row r="67" spans="3:7">
      <c r="C67" s="24"/>
    </row>
    <row r="68" spans="3:7">
      <c r="C68" s="24"/>
    </row>
    <row r="69" spans="3:7">
      <c r="C69" s="24"/>
    </row>
    <row r="70" spans="3:7">
      <c r="C70" s="24"/>
      <c r="G70" s="2"/>
    </row>
    <row r="71" spans="3:7">
      <c r="C71" s="24"/>
      <c r="G71"/>
    </row>
    <row r="72" spans="3:7">
      <c r="C72" s="24"/>
      <c r="G72"/>
    </row>
    <row r="73" spans="3:7">
      <c r="G73"/>
    </row>
    <row r="74" spans="3:7">
      <c r="G74"/>
    </row>
  </sheetData>
  <sheetProtection formatCells="0" formatColumns="0" formatRows="0" insertColumns="0" insertRows="0" insertHyperlinks="0" deleteColumns="0" deleteRows="0" selectLockedCells="1" sort="0" autoFilter="0" pivotTables="0"/>
  <mergeCells count="20">
    <mergeCell ref="B6:E6"/>
    <mergeCell ref="B5:E5"/>
    <mergeCell ref="B7:E7"/>
    <mergeCell ref="B3:E3"/>
    <mergeCell ref="D30:E32"/>
    <mergeCell ref="D24:E24"/>
    <mergeCell ref="D27:E27"/>
    <mergeCell ref="B4:E4"/>
    <mergeCell ref="D45:E45"/>
    <mergeCell ref="D20:E20"/>
    <mergeCell ref="D11:E11"/>
    <mergeCell ref="D12:E12"/>
    <mergeCell ref="D13:E13"/>
    <mergeCell ref="D14:E14"/>
    <mergeCell ref="D17:E17"/>
    <mergeCell ref="D50:E50"/>
    <mergeCell ref="D55:E55"/>
    <mergeCell ref="D58:E58"/>
    <mergeCell ref="D56:E56"/>
    <mergeCell ref="D57:E57"/>
  </mergeCells>
  <conditionalFormatting sqref="B14">
    <cfRule type="expression" dxfId="7" priority="6">
      <formula>$C$13="Enter my own"</formula>
    </cfRule>
  </conditionalFormatting>
  <conditionalFormatting sqref="C14">
    <cfRule type="expression" dxfId="6" priority="9">
      <formula>$C$14="NA"</formula>
    </cfRule>
  </conditionalFormatting>
  <conditionalFormatting sqref="C21">
    <cfRule type="expression" dxfId="5" priority="19">
      <formula>$C$20&lt;&gt;"Enter my own"</formula>
    </cfRule>
  </conditionalFormatting>
  <conditionalFormatting sqref="C37">
    <cfRule type="expression" dxfId="4" priority="22">
      <formula>$C$36&lt;&gt;"Enter Fixed Price"</formula>
    </cfRule>
  </conditionalFormatting>
  <conditionalFormatting sqref="C41">
    <cfRule type="expression" dxfId="3" priority="3">
      <formula>$C$40&lt;&gt;"Enter Fixed Price"</formula>
    </cfRule>
  </conditionalFormatting>
  <conditionalFormatting sqref="C47">
    <cfRule type="expression" dxfId="2" priority="13">
      <formula>$C$46&lt;&gt;"Enter Fixed Price"</formula>
    </cfRule>
  </conditionalFormatting>
  <conditionalFormatting sqref="C51">
    <cfRule type="expression" dxfId="1" priority="4">
      <formula>$C$50&lt;&gt;"Enter Fixed Price"</formula>
    </cfRule>
  </conditionalFormatting>
  <conditionalFormatting sqref="C58">
    <cfRule type="expression" dxfId="0" priority="5">
      <formula>$C$57&lt;&gt;"Enter Fixed Price"</formula>
    </cfRule>
  </conditionalFormatting>
  <dataValidations count="16">
    <dataValidation type="decimal" allowBlank="1" showInputMessage="1" showErrorMessage="1" sqref="C55" xr:uid="{1BBDBA84-61AD-44BE-8813-A9D304E03B13}">
      <formula1>0</formula1>
      <formula2>2</formula2>
    </dataValidation>
    <dataValidation type="decimal" allowBlank="1" showInputMessage="1" showErrorMessage="1" sqref="C56" xr:uid="{0FA89D3C-B504-441B-A437-6EC5582BA8E6}">
      <formula1>-90</formula1>
      <formula2>100</formula2>
    </dataValidation>
    <dataValidation type="whole" operator="greaterThan" allowBlank="1" showInputMessage="1" showErrorMessage="1" promptTitle="Enter LSFO cost estimate" prompt="USD/tonne" sqref="C37 C47" xr:uid="{A8A14984-A489-4134-9275-3F4E1FCB186B}">
      <formula1>0</formula1>
    </dataValidation>
    <dataValidation type="list" allowBlank="1" showInputMessage="1" showErrorMessage="1" sqref="C11" xr:uid="{14109173-8D0C-4B1E-9A70-9F64714A3F1C}">
      <formula1>$H$47:$AD$47</formula1>
    </dataValidation>
    <dataValidation type="list" allowBlank="1" showInputMessage="1" showErrorMessage="1" sqref="C13" xr:uid="{E501CDA9-A005-405F-9AA1-02E6AB6DEDCA}">
      <formula1>$S$7:$S$8</formula1>
    </dataValidation>
    <dataValidation type="list" allowBlank="1" showInputMessage="1" showErrorMessage="1" sqref="C30:C32" xr:uid="{DDC011EC-6CE0-4F0D-A240-549F32E4AAF0}">
      <formula1>$T$9:$T$10</formula1>
    </dataValidation>
    <dataValidation type="list" allowBlank="1" showInputMessage="1" showErrorMessage="1" sqref="C12" xr:uid="{9AFD3CFA-ADAC-4432-94A8-A847CD8D293D}">
      <formula1>$R$7:$R$8</formula1>
    </dataValidation>
    <dataValidation type="list" allowBlank="1" showInputMessage="1" showErrorMessage="1" sqref="C17" xr:uid="{B80ED3BC-6C30-4F4E-99B8-B3EACF6D84D6}">
      <formula1>$R$9:$R$12</formula1>
    </dataValidation>
    <dataValidation type="list" allowBlank="1" showInputMessage="1" showErrorMessage="1" sqref="C20" xr:uid="{72EFC13A-9A2C-4C5B-8B8B-BC755A7B16F6}">
      <formula1>$R$13:$R$17</formula1>
    </dataValidation>
    <dataValidation type="list" allowBlank="1" showInputMessage="1" showErrorMessage="1" sqref="C45" xr:uid="{6F8B729B-B254-42AD-9411-23F6C2A37813}">
      <formula1>$R$31:$R$32</formula1>
    </dataValidation>
    <dataValidation type="list" allowBlank="1" showInputMessage="1" showErrorMessage="1" sqref="C36" xr:uid="{2B99A18F-C193-44E0-93E9-224CD3DA45B0}">
      <formula1>$R$21:$R$22</formula1>
    </dataValidation>
    <dataValidation type="list" allowBlank="1" showInputMessage="1" showErrorMessage="1" sqref="C27" xr:uid="{02C65C1F-3E4C-4E12-AD0C-828B308D0914}">
      <formula1>$R$18:$R$20</formula1>
    </dataValidation>
    <dataValidation type="list" allowBlank="1" showInputMessage="1" showErrorMessage="1" sqref="C57" xr:uid="{2D5491BE-D515-4A5D-A1E1-EF8804E291CD}">
      <formula1>$R$33:$R$36</formula1>
    </dataValidation>
    <dataValidation type="list" allowBlank="1" showInputMessage="1" showErrorMessage="1" sqref="C46" xr:uid="{C7CED8B7-CAC0-48D4-B761-EB78F32D1BA5}">
      <formula1>$R$23:$R$24</formula1>
    </dataValidation>
    <dataValidation type="list" allowBlank="1" showInputMessage="1" showErrorMessage="1" sqref="C40" xr:uid="{017A0600-9EA1-4D59-A532-0F28C3B26AFA}">
      <formula1>$R$25:$R$28</formula1>
    </dataValidation>
    <dataValidation type="list" allowBlank="1" showInputMessage="1" showErrorMessage="1" sqref="C50" xr:uid="{8CFE16CC-C745-44E3-B2AC-EAC8D85CC2B1}">
      <formula1>$R$29:$R$30</formula1>
    </dataValidation>
  </dataValidations>
  <hyperlinks>
    <hyperlink ref="D40" r:id="rId1" display="LR &amp; UMAS, 2021" xr:uid="{C1642A80-53BA-4840-B906-A2030375660A}"/>
    <hyperlink ref="D36" r:id="rId2" xr:uid="{18134ECD-B6CB-410D-879F-C3A371704146}"/>
    <hyperlink ref="D46" r:id="rId3" xr:uid="{4B6099A4-32D9-48E1-9A8A-7606E28746EF}"/>
    <hyperlink ref="C25" r:id="rId4" display="An MMMCZCS RU analysis found a minimum of 450 is needed to reach IMO targets" xr:uid="{F344EB2F-4BCB-4B82-8D5D-FDF2F9FFE647}"/>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F7998-5397-4886-8356-39D982D57559}">
  <sheetPr>
    <tabColor rgb="FFA3C5BF"/>
  </sheetPr>
  <dimension ref="B2:AE445"/>
  <sheetViews>
    <sheetView showGridLines="0" topLeftCell="A46" zoomScale="90" zoomScaleNormal="90" workbookViewId="0">
      <selection activeCell="J80" sqref="J80"/>
    </sheetView>
  </sheetViews>
  <sheetFormatPr defaultRowHeight="15"/>
  <cols>
    <col min="2" max="2" width="8.85546875" style="37" customWidth="1"/>
    <col min="3" max="3" width="53.42578125" customWidth="1"/>
    <col min="4" max="4" width="19.7109375" style="1" customWidth="1"/>
    <col min="5" max="5" width="29.140625" style="1" customWidth="1"/>
    <col min="6" max="6" width="23.7109375" style="29" customWidth="1"/>
    <col min="7" max="7" width="20.7109375" style="29" bestFit="1" customWidth="1"/>
    <col min="8" max="8" width="13" customWidth="1"/>
    <col min="9" max="31" width="11.140625" bestFit="1" customWidth="1"/>
  </cols>
  <sheetData>
    <row r="2" spans="2:31">
      <c r="G2" s="1"/>
    </row>
    <row r="3" spans="2:31">
      <c r="C3" s="30" t="s">
        <v>116</v>
      </c>
      <c r="D3" s="27"/>
      <c r="E3" s="35"/>
      <c r="F3" s="35"/>
      <c r="G3" s="35"/>
      <c r="H3" s="24"/>
      <c r="I3" s="24"/>
      <c r="J3" s="24"/>
      <c r="K3" s="24"/>
      <c r="L3" s="24"/>
      <c r="M3" s="24"/>
    </row>
    <row r="4" spans="2:31" s="38" customFormat="1" ht="45">
      <c r="B4" s="37"/>
      <c r="C4" s="61"/>
      <c r="D4" s="65" t="s">
        <v>117</v>
      </c>
      <c r="E4" s="65" t="s">
        <v>94</v>
      </c>
      <c r="F4" s="65" t="s">
        <v>118</v>
      </c>
      <c r="G4" s="65" t="s">
        <v>119</v>
      </c>
      <c r="H4" s="65" t="s">
        <v>120</v>
      </c>
      <c r="I4" s="61" t="s">
        <v>20</v>
      </c>
      <c r="J4" s="61" t="s">
        <v>25</v>
      </c>
      <c r="K4" s="61" t="s">
        <v>68</v>
      </c>
      <c r="L4" s="61" t="s">
        <v>66</v>
      </c>
      <c r="M4" s="61" t="s">
        <v>36</v>
      </c>
      <c r="N4" s="61" t="s">
        <v>38</v>
      </c>
      <c r="O4" s="61" t="s">
        <v>41</v>
      </c>
    </row>
    <row r="5" spans="2:31">
      <c r="C5" t="s">
        <v>121</v>
      </c>
      <c r="D5" s="136" t="str">
        <f>Input_Reference</f>
        <v>IMO LCA</v>
      </c>
      <c r="E5" s="1" t="s">
        <v>122</v>
      </c>
      <c r="G5" s="27" t="s">
        <v>123</v>
      </c>
      <c r="H5" s="3">
        <f>IF(Select_Reference="Enter my own",User_Input_Reference,Parameter_Reference)</f>
        <v>94.311786567164177</v>
      </c>
      <c r="I5" s="98"/>
      <c r="J5" s="98"/>
      <c r="K5" s="98"/>
      <c r="L5" s="98"/>
      <c r="M5" s="98"/>
      <c r="N5" s="98"/>
      <c r="O5" s="98"/>
    </row>
    <row r="6" spans="2:31">
      <c r="C6" s="25" t="s">
        <v>8</v>
      </c>
      <c r="D6" s="136" t="str">
        <f>Input_Reference</f>
        <v>IMO LCA</v>
      </c>
      <c r="G6" s="27" t="s">
        <v>123</v>
      </c>
      <c r="H6" s="32">
        <f>INDEX(Emissions_factors,MATCH($C6,Emission_factors_rows,0),MATCH(D$6,Emission_factor_columns,0))</f>
        <v>94.311786567164177</v>
      </c>
      <c r="I6" s="32">
        <v>94.311786567164205</v>
      </c>
      <c r="J6" s="32">
        <v>16.227027027027027</v>
      </c>
      <c r="K6" s="32">
        <v>76.129158859470465</v>
      </c>
      <c r="L6" s="32">
        <v>83.834102851323834</v>
      </c>
      <c r="M6" s="32">
        <v>15.591833999999999</v>
      </c>
      <c r="N6" s="32">
        <v>23.15808899999999</v>
      </c>
      <c r="O6" s="32">
        <f>'CCC Summary'!$C$56</f>
        <v>9.4311786567164155</v>
      </c>
    </row>
    <row r="7" spans="2:31">
      <c r="C7" s="25" t="s">
        <v>11</v>
      </c>
      <c r="D7" s="136" t="str">
        <f>Input_Reference</f>
        <v>IMO LCA</v>
      </c>
      <c r="F7" s="1" t="s">
        <v>124</v>
      </c>
      <c r="G7" s="27" t="s">
        <v>123</v>
      </c>
      <c r="H7" s="32">
        <f>INDEX(Emissions_factors,MATCH($C7,Emission_factors_rows,0),MATCH(D$6,Emission_factor_columns,0))</f>
        <v>77.511786567164194</v>
      </c>
      <c r="I7" s="32">
        <f>I$6*$H$7/$H$6</f>
        <v>77.511786567164208</v>
      </c>
      <c r="J7" s="32">
        <f>J$6*$H$7/$H$6</f>
        <v>13.336465157966138</v>
      </c>
      <c r="K7" s="32">
        <f t="shared" ref="K7:O7" si="0">K$6*$H$7/$H$6</f>
        <v>62.568076884543785</v>
      </c>
      <c r="L7" s="32">
        <f t="shared" si="0"/>
        <v>68.900519476787323</v>
      </c>
      <c r="M7" s="32">
        <f t="shared" si="0"/>
        <v>12.814420691076442</v>
      </c>
      <c r="N7" s="32">
        <f t="shared" si="0"/>
        <v>19.032879316659582</v>
      </c>
      <c r="O7" s="32">
        <f t="shared" si="0"/>
        <v>7.7511786567164167</v>
      </c>
      <c r="P7" s="37"/>
      <c r="Q7" s="37"/>
      <c r="R7" s="37"/>
      <c r="S7" s="37"/>
      <c r="T7" s="37"/>
      <c r="U7" s="37"/>
      <c r="V7" s="37"/>
      <c r="W7" s="37"/>
      <c r="X7" s="37"/>
      <c r="Y7" s="37"/>
      <c r="Z7" s="37"/>
      <c r="AA7" s="37"/>
      <c r="AB7" s="37"/>
      <c r="AC7" s="37"/>
      <c r="AD7" s="37"/>
    </row>
    <row r="8" spans="2:31">
      <c r="C8" s="25" t="s">
        <v>125</v>
      </c>
      <c r="D8" s="136" t="str">
        <f>Input_Emissions_Scope</f>
        <v>WtW</v>
      </c>
      <c r="E8" s="4"/>
      <c r="F8" s="4"/>
      <c r="G8" s="27" t="s">
        <v>123</v>
      </c>
      <c r="H8" s="3"/>
      <c r="I8" s="3">
        <f>INDEX($C$4:$O$7,MATCH($D$8,$C$4:$C$7,0),MATCH(I$4,$C$4:$O$4,0))</f>
        <v>94.311786567164205</v>
      </c>
      <c r="J8" s="3">
        <f t="shared" ref="J8:O8" si="1">INDEX($C$4:$O$7,MATCH($D$8,$C$4:$C$7,0),MATCH(J$4,$C$4:$O$4,0))</f>
        <v>16.227027027027027</v>
      </c>
      <c r="K8" s="3">
        <f t="shared" si="1"/>
        <v>76.129158859470465</v>
      </c>
      <c r="L8" s="3">
        <f t="shared" si="1"/>
        <v>83.834102851323834</v>
      </c>
      <c r="M8" s="3">
        <f t="shared" si="1"/>
        <v>15.591833999999999</v>
      </c>
      <c r="N8" s="3">
        <f t="shared" si="1"/>
        <v>23.15808899999999</v>
      </c>
      <c r="O8" s="3">
        <f t="shared" si="1"/>
        <v>9.4311786567164155</v>
      </c>
      <c r="P8" s="37"/>
      <c r="Q8" s="37"/>
      <c r="R8" s="37"/>
      <c r="S8" s="37"/>
      <c r="T8" s="37"/>
      <c r="U8" s="37"/>
      <c r="V8" s="37"/>
      <c r="W8" s="37"/>
      <c r="X8" s="37"/>
      <c r="Y8" s="37"/>
      <c r="Z8" s="37"/>
      <c r="AA8" s="37"/>
      <c r="AB8" s="37"/>
      <c r="AC8" s="37"/>
      <c r="AD8" s="37"/>
    </row>
    <row r="9" spans="2:31">
      <c r="C9" s="37"/>
      <c r="D9" s="4"/>
      <c r="E9" s="4"/>
      <c r="F9" s="4"/>
      <c r="G9" s="4"/>
      <c r="H9" s="37"/>
      <c r="I9" s="37"/>
      <c r="J9" s="37"/>
      <c r="K9" s="37"/>
      <c r="L9" s="37"/>
      <c r="M9" s="37"/>
      <c r="N9" s="37"/>
      <c r="O9" s="37"/>
      <c r="P9" s="37"/>
      <c r="Q9" s="37"/>
      <c r="R9" s="37"/>
      <c r="S9" s="37"/>
      <c r="T9" s="37"/>
      <c r="U9" s="37"/>
      <c r="V9" s="37"/>
      <c r="W9" s="37"/>
      <c r="X9" s="37"/>
      <c r="Y9" s="37"/>
      <c r="Z9" s="37"/>
      <c r="AA9" s="37"/>
      <c r="AB9" s="37"/>
      <c r="AC9" s="37"/>
      <c r="AD9" s="37"/>
    </row>
    <row r="10" spans="2:31">
      <c r="F10" s="1"/>
      <c r="G10" s="1"/>
    </row>
    <row r="12" spans="2:31">
      <c r="C12" s="30" t="s">
        <v>126</v>
      </c>
      <c r="D12" s="35"/>
      <c r="E12" s="35"/>
      <c r="F12" s="27"/>
      <c r="G12" s="27"/>
      <c r="H12" s="24"/>
      <c r="I12" s="24"/>
    </row>
    <row r="13" spans="2:31">
      <c r="C13" s="61" t="s">
        <v>127</v>
      </c>
      <c r="D13" s="65" t="s">
        <v>117</v>
      </c>
      <c r="E13" s="65" t="s">
        <v>94</v>
      </c>
      <c r="F13" s="65" t="s">
        <v>118</v>
      </c>
      <c r="G13" s="51" t="s">
        <v>119</v>
      </c>
      <c r="H13" s="51">
        <v>2027</v>
      </c>
      <c r="I13" s="61">
        <v>2028</v>
      </c>
      <c r="J13" s="61">
        <v>2029</v>
      </c>
      <c r="K13" s="61">
        <v>2030</v>
      </c>
      <c r="L13" s="61">
        <v>2031</v>
      </c>
      <c r="M13" s="61">
        <v>2032</v>
      </c>
      <c r="N13" s="61">
        <v>2033</v>
      </c>
      <c r="O13" s="61">
        <v>2034</v>
      </c>
      <c r="P13" s="61">
        <v>2035</v>
      </c>
      <c r="Q13" s="51">
        <v>2036</v>
      </c>
      <c r="R13" s="51">
        <v>2037</v>
      </c>
      <c r="S13" s="61">
        <v>2038</v>
      </c>
      <c r="T13" s="61">
        <v>2039</v>
      </c>
      <c r="U13" s="61">
        <v>2040</v>
      </c>
      <c r="V13" s="61">
        <v>2041</v>
      </c>
      <c r="W13" s="61">
        <v>2042</v>
      </c>
      <c r="X13" s="61">
        <v>2043</v>
      </c>
      <c r="Y13" s="61">
        <v>2044</v>
      </c>
      <c r="Z13" s="61">
        <v>2045</v>
      </c>
      <c r="AA13" s="51">
        <v>2046</v>
      </c>
      <c r="AB13" s="51">
        <v>2047</v>
      </c>
      <c r="AC13" s="61">
        <v>2048</v>
      </c>
      <c r="AD13" s="61">
        <v>2049</v>
      </c>
      <c r="AE13" s="61">
        <v>2050</v>
      </c>
    </row>
    <row r="14" spans="2:31">
      <c r="C14" s="5" t="s">
        <v>128</v>
      </c>
      <c r="D14" s="136" t="str">
        <f>'CCC Summary'!C17</f>
        <v>Base  (yearly)</v>
      </c>
      <c r="E14" s="35" t="s">
        <v>129</v>
      </c>
      <c r="F14" s="66" t="s">
        <v>130</v>
      </c>
      <c r="G14" s="27" t="s">
        <v>123</v>
      </c>
      <c r="H14" s="62">
        <f t="shared" ref="H14:AE14" si="2">$H$5*(1-INDEX(Policy_Parameters,MATCH($D$14,Parameters,0),MATCH(H$13,Parameter_years,0)))</f>
        <v>91.482432970149247</v>
      </c>
      <c r="I14" s="62">
        <f t="shared" si="2"/>
        <v>88.181520440298513</v>
      </c>
      <c r="J14" s="62">
        <f t="shared" si="2"/>
        <v>86.295284708955222</v>
      </c>
      <c r="K14" s="62">
        <f t="shared" si="2"/>
        <v>82.994372179104474</v>
      </c>
      <c r="L14" s="62">
        <f t="shared" si="2"/>
        <v>78.278782850746268</v>
      </c>
      <c r="M14" s="62">
        <f t="shared" si="2"/>
        <v>73.091634589552243</v>
      </c>
      <c r="N14" s="62">
        <f t="shared" si="2"/>
        <v>67.904486328358203</v>
      </c>
      <c r="O14" s="62">
        <f t="shared" si="2"/>
        <v>62.717338067164178</v>
      </c>
      <c r="P14" s="62">
        <f t="shared" si="2"/>
        <v>58.001748738805965</v>
      </c>
      <c r="Q14" s="62">
        <f t="shared" si="2"/>
        <v>52.531665117910443</v>
      </c>
      <c r="R14" s="62">
        <f t="shared" si="2"/>
        <v>47.061581497014927</v>
      </c>
      <c r="S14" s="62">
        <f t="shared" si="2"/>
        <v>41.591497876119398</v>
      </c>
      <c r="T14" s="62">
        <f t="shared" si="2"/>
        <v>36.121414255223868</v>
      </c>
      <c r="U14" s="62">
        <f t="shared" si="2"/>
        <v>30.651330634328353</v>
      </c>
      <c r="V14" s="62">
        <f t="shared" si="2"/>
        <v>27.727665250746263</v>
      </c>
      <c r="W14" s="62">
        <f t="shared" si="2"/>
        <v>24.803999867164169</v>
      </c>
      <c r="X14" s="62">
        <f t="shared" si="2"/>
        <v>21.880334483582079</v>
      </c>
      <c r="Y14" s="62">
        <f t="shared" si="2"/>
        <v>18.956669099999985</v>
      </c>
      <c r="Z14" s="62">
        <f t="shared" si="2"/>
        <v>16.033003716417912</v>
      </c>
      <c r="AA14" s="62">
        <f t="shared" si="2"/>
        <v>13.203650119402987</v>
      </c>
      <c r="AB14" s="62">
        <f t="shared" si="2"/>
        <v>10.374296522388057</v>
      </c>
      <c r="AC14" s="62">
        <f t="shared" si="2"/>
        <v>7.5449429253731299</v>
      </c>
      <c r="AD14" s="62">
        <f t="shared" si="2"/>
        <v>4.7155893283582024</v>
      </c>
      <c r="AE14" s="62">
        <f t="shared" si="2"/>
        <v>1.8862357313432851</v>
      </c>
    </row>
    <row r="15" spans="2:31">
      <c r="C15" s="24" t="s">
        <v>107</v>
      </c>
      <c r="D15" s="118" t="str">
        <f>'CCC Summary'!$C$20</f>
        <v>Levy Low ($18.75)</v>
      </c>
      <c r="E15" s="35" t="s">
        <v>129</v>
      </c>
      <c r="F15" s="67"/>
      <c r="G15" s="27" t="s">
        <v>131</v>
      </c>
      <c r="H15" s="63">
        <f t="shared" ref="H15:AE15" si="3">IF($D$15="Enter my own",Input_Levy,INDEX(Policy_Parameters,MATCH($D$15,Parameters,0),MATCH(H$13,Parameter_years,0)))</f>
        <v>18.75</v>
      </c>
      <c r="I15" s="63">
        <f t="shared" si="3"/>
        <v>18.75</v>
      </c>
      <c r="J15" s="63">
        <f t="shared" si="3"/>
        <v>18.75</v>
      </c>
      <c r="K15" s="63">
        <f t="shared" si="3"/>
        <v>18.75</v>
      </c>
      <c r="L15" s="63">
        <f t="shared" si="3"/>
        <v>18.75</v>
      </c>
      <c r="M15" s="63">
        <f t="shared" si="3"/>
        <v>18.75</v>
      </c>
      <c r="N15" s="63">
        <f t="shared" si="3"/>
        <v>18.75</v>
      </c>
      <c r="O15" s="63">
        <f t="shared" si="3"/>
        <v>18.75</v>
      </c>
      <c r="P15" s="63">
        <f t="shared" si="3"/>
        <v>18.75</v>
      </c>
      <c r="Q15" s="63">
        <f t="shared" si="3"/>
        <v>18.75</v>
      </c>
      <c r="R15" s="63">
        <f t="shared" si="3"/>
        <v>18.75</v>
      </c>
      <c r="S15" s="63">
        <f t="shared" si="3"/>
        <v>18.75</v>
      </c>
      <c r="T15" s="63">
        <f t="shared" si="3"/>
        <v>18.75</v>
      </c>
      <c r="U15" s="63">
        <f t="shared" si="3"/>
        <v>18.75</v>
      </c>
      <c r="V15" s="63">
        <f t="shared" si="3"/>
        <v>18.75</v>
      </c>
      <c r="W15" s="63">
        <f t="shared" si="3"/>
        <v>18.75</v>
      </c>
      <c r="X15" s="63">
        <f t="shared" si="3"/>
        <v>18.75</v>
      </c>
      <c r="Y15" s="63">
        <f t="shared" si="3"/>
        <v>18.75</v>
      </c>
      <c r="Z15" s="63">
        <f t="shared" si="3"/>
        <v>18.75</v>
      </c>
      <c r="AA15" s="63">
        <f t="shared" si="3"/>
        <v>18.75</v>
      </c>
      <c r="AB15" s="63">
        <f t="shared" si="3"/>
        <v>18.75</v>
      </c>
      <c r="AC15" s="63">
        <f t="shared" si="3"/>
        <v>18.75</v>
      </c>
      <c r="AD15" s="63">
        <f t="shared" si="3"/>
        <v>18.75</v>
      </c>
      <c r="AE15" s="63">
        <f t="shared" si="3"/>
        <v>18.75</v>
      </c>
    </row>
    <row r="16" spans="2:31">
      <c r="C16" s="24" t="s">
        <v>132</v>
      </c>
      <c r="D16" s="118" t="str">
        <f>Input_reward</f>
        <v>No Reward</v>
      </c>
      <c r="E16" s="35" t="s">
        <v>129</v>
      </c>
      <c r="F16" s="27"/>
      <c r="G16" s="27" t="s">
        <v>131</v>
      </c>
      <c r="H16" s="63">
        <f t="shared" ref="H16:AE16" si="4">INDEX(Policy_Parameters,MATCH($D$16,Parameters,0),MATCH(H$13,Parameter_years,0))</f>
        <v>0</v>
      </c>
      <c r="I16" s="63">
        <f t="shared" si="4"/>
        <v>0</v>
      </c>
      <c r="J16" s="63">
        <f t="shared" si="4"/>
        <v>0</v>
      </c>
      <c r="K16" s="63">
        <f t="shared" si="4"/>
        <v>0</v>
      </c>
      <c r="L16" s="63">
        <f t="shared" si="4"/>
        <v>0</v>
      </c>
      <c r="M16" s="63">
        <f t="shared" si="4"/>
        <v>0</v>
      </c>
      <c r="N16" s="63">
        <f t="shared" si="4"/>
        <v>0</v>
      </c>
      <c r="O16" s="63">
        <f t="shared" si="4"/>
        <v>0</v>
      </c>
      <c r="P16" s="63">
        <f t="shared" si="4"/>
        <v>0</v>
      </c>
      <c r="Q16" s="63">
        <f t="shared" si="4"/>
        <v>0</v>
      </c>
      <c r="R16" s="63">
        <f t="shared" si="4"/>
        <v>0</v>
      </c>
      <c r="S16" s="63">
        <f t="shared" si="4"/>
        <v>0</v>
      </c>
      <c r="T16" s="63">
        <f t="shared" si="4"/>
        <v>0</v>
      </c>
      <c r="U16" s="63">
        <f t="shared" si="4"/>
        <v>0</v>
      </c>
      <c r="V16" s="63">
        <f t="shared" si="4"/>
        <v>0</v>
      </c>
      <c r="W16" s="63">
        <f t="shared" si="4"/>
        <v>0</v>
      </c>
      <c r="X16" s="63">
        <f t="shared" si="4"/>
        <v>0</v>
      </c>
      <c r="Y16" s="63">
        <f t="shared" si="4"/>
        <v>0</v>
      </c>
      <c r="Z16" s="63">
        <f t="shared" si="4"/>
        <v>0</v>
      </c>
      <c r="AA16" s="63">
        <f t="shared" si="4"/>
        <v>0</v>
      </c>
      <c r="AB16" s="63">
        <f t="shared" si="4"/>
        <v>0</v>
      </c>
      <c r="AC16" s="63">
        <f t="shared" si="4"/>
        <v>0</v>
      </c>
      <c r="AD16" s="63">
        <f t="shared" si="4"/>
        <v>0</v>
      </c>
      <c r="AE16" s="63">
        <f t="shared" si="4"/>
        <v>0</v>
      </c>
    </row>
    <row r="17" spans="2:31">
      <c r="C17" t="s">
        <v>133</v>
      </c>
      <c r="D17" s="118">
        <f>Input_RU</f>
        <v>600</v>
      </c>
      <c r="E17" s="35" t="s">
        <v>129</v>
      </c>
      <c r="F17" s="27"/>
      <c r="G17" s="27" t="s">
        <v>131</v>
      </c>
      <c r="H17" s="33">
        <f t="shared" ref="H17:AE17" si="5">Input_RU</f>
        <v>600</v>
      </c>
      <c r="I17" s="33">
        <f t="shared" si="5"/>
        <v>600</v>
      </c>
      <c r="J17" s="33">
        <f t="shared" si="5"/>
        <v>600</v>
      </c>
      <c r="K17" s="33">
        <f t="shared" si="5"/>
        <v>600</v>
      </c>
      <c r="L17" s="33">
        <f t="shared" si="5"/>
        <v>600</v>
      </c>
      <c r="M17" s="33">
        <f t="shared" si="5"/>
        <v>600</v>
      </c>
      <c r="N17" s="33">
        <f t="shared" si="5"/>
        <v>600</v>
      </c>
      <c r="O17" s="33">
        <f t="shared" si="5"/>
        <v>600</v>
      </c>
      <c r="P17" s="33">
        <f t="shared" si="5"/>
        <v>600</v>
      </c>
      <c r="Q17" s="33">
        <f t="shared" si="5"/>
        <v>600</v>
      </c>
      <c r="R17" s="33">
        <f t="shared" si="5"/>
        <v>600</v>
      </c>
      <c r="S17" s="33">
        <f t="shared" si="5"/>
        <v>600</v>
      </c>
      <c r="T17" s="33">
        <f t="shared" si="5"/>
        <v>600</v>
      </c>
      <c r="U17" s="33">
        <f t="shared" si="5"/>
        <v>600</v>
      </c>
      <c r="V17" s="33">
        <f t="shared" si="5"/>
        <v>600</v>
      </c>
      <c r="W17" s="33">
        <f t="shared" si="5"/>
        <v>600</v>
      </c>
      <c r="X17" s="33">
        <f t="shared" si="5"/>
        <v>600</v>
      </c>
      <c r="Y17" s="33">
        <f t="shared" si="5"/>
        <v>600</v>
      </c>
      <c r="Z17" s="33">
        <f t="shared" si="5"/>
        <v>600</v>
      </c>
      <c r="AA17" s="33">
        <f t="shared" si="5"/>
        <v>600</v>
      </c>
      <c r="AB17" s="33">
        <f t="shared" si="5"/>
        <v>600</v>
      </c>
      <c r="AC17" s="33">
        <f t="shared" si="5"/>
        <v>600</v>
      </c>
      <c r="AD17" s="33">
        <f t="shared" si="5"/>
        <v>600</v>
      </c>
      <c r="AE17" s="33">
        <f t="shared" si="5"/>
        <v>600</v>
      </c>
    </row>
    <row r="18" spans="2:31">
      <c r="C18" s="24"/>
      <c r="D18" s="35"/>
      <c r="E18" s="35"/>
      <c r="F18" s="27"/>
      <c r="G18" s="27"/>
      <c r="H18" s="24"/>
      <c r="J18" s="3"/>
      <c r="K18" s="3"/>
      <c r="L18" s="3"/>
      <c r="M18" s="3"/>
      <c r="N18" s="3"/>
      <c r="O18" s="3"/>
      <c r="P18" s="3"/>
      <c r="Q18" s="3"/>
      <c r="R18" s="3"/>
      <c r="S18" s="3"/>
      <c r="T18" s="3"/>
      <c r="U18" s="3"/>
      <c r="V18" s="3"/>
      <c r="W18" s="3"/>
      <c r="X18" s="3"/>
      <c r="Y18" s="3"/>
      <c r="Z18" s="3"/>
      <c r="AA18" s="3"/>
      <c r="AB18" s="3"/>
      <c r="AC18" s="3"/>
      <c r="AD18" s="3"/>
    </row>
    <row r="19" spans="2:31">
      <c r="C19" s="30" t="s">
        <v>134</v>
      </c>
      <c r="D19" s="35"/>
      <c r="E19" s="35"/>
      <c r="F19" s="27"/>
      <c r="G19" s="27"/>
      <c r="H19" s="24"/>
      <c r="J19" s="3"/>
      <c r="K19" s="3"/>
      <c r="L19" s="3"/>
      <c r="M19" s="3"/>
      <c r="N19" s="3"/>
      <c r="O19" s="3"/>
      <c r="P19" s="3"/>
      <c r="Q19" s="3"/>
      <c r="R19" s="3"/>
      <c r="S19" s="3"/>
      <c r="T19" s="3"/>
      <c r="U19" s="3"/>
      <c r="V19" s="3"/>
      <c r="W19" s="3"/>
      <c r="X19" s="3"/>
      <c r="Y19" s="3"/>
      <c r="Z19" s="3"/>
      <c r="AA19" s="3"/>
      <c r="AB19" s="3"/>
      <c r="AC19" s="3"/>
      <c r="AD19" s="3"/>
    </row>
    <row r="20" spans="2:31" ht="30">
      <c r="C20" s="61" t="s">
        <v>135</v>
      </c>
      <c r="D20" s="65" t="s">
        <v>136</v>
      </c>
      <c r="E20" s="65" t="s">
        <v>94</v>
      </c>
      <c r="F20" s="65" t="s">
        <v>118</v>
      </c>
      <c r="G20" s="51" t="s">
        <v>119</v>
      </c>
      <c r="H20" s="51">
        <v>2027</v>
      </c>
      <c r="I20" s="61">
        <v>2028</v>
      </c>
      <c r="J20" s="61">
        <v>2029</v>
      </c>
      <c r="K20" s="61">
        <v>2030</v>
      </c>
      <c r="L20" s="61">
        <v>2031</v>
      </c>
      <c r="M20" s="61">
        <v>2032</v>
      </c>
      <c r="N20" s="61">
        <v>2033</v>
      </c>
      <c r="O20" s="61">
        <v>2034</v>
      </c>
      <c r="P20" s="61">
        <v>2035</v>
      </c>
      <c r="Q20" s="51">
        <v>2036</v>
      </c>
      <c r="R20" s="51">
        <v>2037</v>
      </c>
      <c r="S20" s="61">
        <v>2038</v>
      </c>
      <c r="T20" s="61">
        <v>2039</v>
      </c>
      <c r="U20" s="61">
        <v>2040</v>
      </c>
      <c r="V20" s="61">
        <v>2041</v>
      </c>
      <c r="W20" s="61">
        <v>2042</v>
      </c>
      <c r="X20" s="61">
        <v>2043</v>
      </c>
      <c r="Y20" s="61">
        <v>2044</v>
      </c>
      <c r="Z20" s="61">
        <v>2045</v>
      </c>
      <c r="AA20" s="51">
        <v>2046</v>
      </c>
      <c r="AB20" s="51">
        <v>2047</v>
      </c>
      <c r="AC20" s="61">
        <v>2048</v>
      </c>
      <c r="AD20" s="61">
        <v>2049</v>
      </c>
      <c r="AE20" s="61">
        <v>2050</v>
      </c>
    </row>
    <row r="21" spans="2:31">
      <c r="B21" s="114" t="s">
        <v>20</v>
      </c>
      <c r="C21" s="54" t="s">
        <v>137</v>
      </c>
      <c r="D21" s="64" t="s">
        <v>20</v>
      </c>
      <c r="E21" s="68" t="s">
        <v>129</v>
      </c>
      <c r="F21" s="116"/>
      <c r="G21" s="46" t="s">
        <v>123</v>
      </c>
      <c r="H21" s="117">
        <f t="shared" ref="H21:AE21" si="6">INDEX(Calculation_emission,MATCH(Input_Emissions_Scope,Calculation_emission_rows,0),MATCH($D21,Calculation_emissions_columns,0))</f>
        <v>94.311786567164205</v>
      </c>
      <c r="I21" s="117">
        <f t="shared" si="6"/>
        <v>94.311786567164205</v>
      </c>
      <c r="J21" s="117">
        <f t="shared" si="6"/>
        <v>94.311786567164205</v>
      </c>
      <c r="K21" s="117">
        <f t="shared" si="6"/>
        <v>94.311786567164205</v>
      </c>
      <c r="L21" s="117">
        <f t="shared" si="6"/>
        <v>94.311786567164205</v>
      </c>
      <c r="M21" s="117">
        <f t="shared" si="6"/>
        <v>94.311786567164205</v>
      </c>
      <c r="N21" s="117">
        <f t="shared" si="6"/>
        <v>94.311786567164205</v>
      </c>
      <c r="O21" s="117">
        <f t="shared" si="6"/>
        <v>94.311786567164205</v>
      </c>
      <c r="P21" s="117">
        <f t="shared" si="6"/>
        <v>94.311786567164205</v>
      </c>
      <c r="Q21" s="117">
        <f t="shared" si="6"/>
        <v>94.311786567164205</v>
      </c>
      <c r="R21" s="117">
        <f t="shared" si="6"/>
        <v>94.311786567164205</v>
      </c>
      <c r="S21" s="117">
        <f t="shared" si="6"/>
        <v>94.311786567164205</v>
      </c>
      <c r="T21" s="117">
        <f t="shared" si="6"/>
        <v>94.311786567164205</v>
      </c>
      <c r="U21" s="117">
        <f t="shared" si="6"/>
        <v>94.311786567164205</v>
      </c>
      <c r="V21" s="117">
        <f t="shared" si="6"/>
        <v>94.311786567164205</v>
      </c>
      <c r="W21" s="117">
        <f t="shared" si="6"/>
        <v>94.311786567164205</v>
      </c>
      <c r="X21" s="117">
        <f t="shared" si="6"/>
        <v>94.311786567164205</v>
      </c>
      <c r="Y21" s="117">
        <f t="shared" si="6"/>
        <v>94.311786567164205</v>
      </c>
      <c r="Z21" s="117">
        <f t="shared" si="6"/>
        <v>94.311786567164205</v>
      </c>
      <c r="AA21" s="117">
        <f t="shared" si="6"/>
        <v>94.311786567164205</v>
      </c>
      <c r="AB21" s="117">
        <f t="shared" si="6"/>
        <v>94.311786567164205</v>
      </c>
      <c r="AC21" s="117">
        <f t="shared" si="6"/>
        <v>94.311786567164205</v>
      </c>
      <c r="AD21" s="117">
        <f t="shared" si="6"/>
        <v>94.311786567164205</v>
      </c>
      <c r="AE21" s="117">
        <f t="shared" si="6"/>
        <v>94.311786567164205</v>
      </c>
    </row>
    <row r="22" spans="2:31">
      <c r="B22" s="114"/>
      <c r="C22" s="24" t="s">
        <v>138</v>
      </c>
      <c r="D22" s="35"/>
      <c r="E22" s="35" t="s">
        <v>139</v>
      </c>
      <c r="F22" s="27" t="s">
        <v>140</v>
      </c>
      <c r="G22" s="27" t="s">
        <v>141</v>
      </c>
      <c r="H22" s="32">
        <f>H21/1000</f>
        <v>9.4311786567164199E-2</v>
      </c>
      <c r="I22" s="32">
        <f>I21/1000</f>
        <v>9.4311786567164199E-2</v>
      </c>
      <c r="J22" s="32">
        <f t="shared" ref="J22:AE22" si="7">J21/1000</f>
        <v>9.4311786567164199E-2</v>
      </c>
      <c r="K22" s="32">
        <f t="shared" si="7"/>
        <v>9.4311786567164199E-2</v>
      </c>
      <c r="L22" s="32">
        <f t="shared" si="7"/>
        <v>9.4311786567164199E-2</v>
      </c>
      <c r="M22" s="32">
        <f t="shared" si="7"/>
        <v>9.4311786567164199E-2</v>
      </c>
      <c r="N22" s="32">
        <f t="shared" si="7"/>
        <v>9.4311786567164199E-2</v>
      </c>
      <c r="O22" s="32">
        <f t="shared" si="7"/>
        <v>9.4311786567164199E-2</v>
      </c>
      <c r="P22" s="32">
        <f t="shared" si="7"/>
        <v>9.4311786567164199E-2</v>
      </c>
      <c r="Q22" s="32">
        <f t="shared" si="7"/>
        <v>9.4311786567164199E-2</v>
      </c>
      <c r="R22" s="32">
        <f t="shared" si="7"/>
        <v>9.4311786567164199E-2</v>
      </c>
      <c r="S22" s="32">
        <f t="shared" si="7"/>
        <v>9.4311786567164199E-2</v>
      </c>
      <c r="T22" s="32">
        <f t="shared" si="7"/>
        <v>9.4311786567164199E-2</v>
      </c>
      <c r="U22" s="32">
        <f t="shared" si="7"/>
        <v>9.4311786567164199E-2</v>
      </c>
      <c r="V22" s="32">
        <f t="shared" si="7"/>
        <v>9.4311786567164199E-2</v>
      </c>
      <c r="W22" s="32">
        <f t="shared" si="7"/>
        <v>9.4311786567164199E-2</v>
      </c>
      <c r="X22" s="32">
        <f t="shared" si="7"/>
        <v>9.4311786567164199E-2</v>
      </c>
      <c r="Y22" s="32">
        <f t="shared" si="7"/>
        <v>9.4311786567164199E-2</v>
      </c>
      <c r="Z22" s="32">
        <f t="shared" si="7"/>
        <v>9.4311786567164199E-2</v>
      </c>
      <c r="AA22" s="32">
        <f t="shared" si="7"/>
        <v>9.4311786567164199E-2</v>
      </c>
      <c r="AB22" s="32">
        <f t="shared" si="7"/>
        <v>9.4311786567164199E-2</v>
      </c>
      <c r="AC22" s="32">
        <f t="shared" si="7"/>
        <v>9.4311786567164199E-2</v>
      </c>
      <c r="AD22" s="32">
        <f t="shared" si="7"/>
        <v>9.4311786567164199E-2</v>
      </c>
      <c r="AE22" s="32">
        <f t="shared" si="7"/>
        <v>9.4311786567164199E-2</v>
      </c>
    </row>
    <row r="23" spans="2:31" ht="15.6" customHeight="1">
      <c r="B23" s="114"/>
      <c r="C23" s="24" t="s">
        <v>142</v>
      </c>
      <c r="D23" s="35"/>
      <c r="E23" s="35"/>
      <c r="F23" s="27" t="s">
        <v>143</v>
      </c>
      <c r="G23" s="27" t="s">
        <v>144</v>
      </c>
      <c r="H23" s="32">
        <f t="shared" ref="H23:AE23" si="8">(H21-H$14)*LSFO_LCV</f>
        <v>0.11515469139850878</v>
      </c>
      <c r="I23" s="32">
        <f>(I21-I$14)*LSFO_LCV</f>
        <v>0.24950183136343365</v>
      </c>
      <c r="J23" s="32">
        <f t="shared" si="8"/>
        <v>0.32627162562910561</v>
      </c>
      <c r="K23" s="32">
        <f t="shared" si="8"/>
        <v>0.46061876559403109</v>
      </c>
      <c r="L23" s="32">
        <f t="shared" si="8"/>
        <v>0.65254325125821</v>
      </c>
      <c r="M23" s="32">
        <f t="shared" si="8"/>
        <v>0.86366018548880685</v>
      </c>
      <c r="N23" s="32">
        <f t="shared" si="8"/>
        <v>1.0747771197194043</v>
      </c>
      <c r="O23" s="32">
        <f t="shared" si="8"/>
        <v>1.285894053950001</v>
      </c>
      <c r="P23" s="32">
        <f t="shared" si="8"/>
        <v>1.4778185396141803</v>
      </c>
      <c r="Q23" s="32">
        <f t="shared" si="8"/>
        <v>1.7004509429846282</v>
      </c>
      <c r="R23" s="32">
        <f t="shared" si="8"/>
        <v>1.9230833463550756</v>
      </c>
      <c r="S23" s="32">
        <f t="shared" si="8"/>
        <v>2.1457157497255235</v>
      </c>
      <c r="T23" s="32">
        <f t="shared" si="8"/>
        <v>2.3683481530959716</v>
      </c>
      <c r="U23" s="32">
        <f t="shared" si="8"/>
        <v>2.5909805564664192</v>
      </c>
      <c r="V23" s="32">
        <f t="shared" si="8"/>
        <v>2.7099737375782098</v>
      </c>
      <c r="W23" s="32">
        <f t="shared" si="8"/>
        <v>2.8289669186900017</v>
      </c>
      <c r="X23" s="32">
        <f t="shared" si="8"/>
        <v>2.9479600998017927</v>
      </c>
      <c r="Y23" s="32">
        <f t="shared" si="8"/>
        <v>3.0669532809135838</v>
      </c>
      <c r="Z23" s="32">
        <f t="shared" si="8"/>
        <v>3.1859464620253743</v>
      </c>
      <c r="AA23" s="32">
        <f t="shared" si="8"/>
        <v>3.3011011534238812</v>
      </c>
      <c r="AB23" s="32">
        <f t="shared" si="8"/>
        <v>3.4162558448223894</v>
      </c>
      <c r="AC23" s="32">
        <f t="shared" si="8"/>
        <v>3.5314105362208967</v>
      </c>
      <c r="AD23" s="32">
        <f t="shared" si="8"/>
        <v>3.646565227619404</v>
      </c>
      <c r="AE23" s="32">
        <f t="shared" si="8"/>
        <v>3.7617199190179114</v>
      </c>
    </row>
    <row r="24" spans="2:31">
      <c r="B24" s="114"/>
      <c r="C24" s="24" t="s">
        <v>145</v>
      </c>
      <c r="D24" s="118" t="str">
        <f>Input_LSFO</f>
        <v>MMM LSFO</v>
      </c>
      <c r="E24" s="35" t="s">
        <v>129</v>
      </c>
      <c r="F24" s="27" t="str">
        <f>IF('CCC Summary'!$C$36="Yes",'CCC Summary'!$D$36,"")</f>
        <v/>
      </c>
      <c r="G24" s="27" t="s">
        <v>146</v>
      </c>
      <c r="H24" s="63">
        <f t="shared" ref="H24:AE24" si="9">IF($D$24="Enter fixed price",Input_LSFO_price/(LSFO_LCV*1000),INDEX(Fuel_Cost_Variables,MATCH($D$24,Fuel_Cost_Rows,0),MATCH(H$13,Fuel_Cost_Columns,0)))</f>
        <v>14.6337378640777</v>
      </c>
      <c r="I24" s="63">
        <f t="shared" si="9"/>
        <v>14.241262135922296</v>
      </c>
      <c r="J24" s="63">
        <f t="shared" si="9"/>
        <v>13.848786407766889</v>
      </c>
      <c r="K24" s="63">
        <f t="shared" si="9"/>
        <v>13.456310679611649</v>
      </c>
      <c r="L24" s="63">
        <f t="shared" si="9"/>
        <v>13.456310679611649</v>
      </c>
      <c r="M24" s="63">
        <f t="shared" si="9"/>
        <v>13.456310679611649</v>
      </c>
      <c r="N24" s="63">
        <f t="shared" si="9"/>
        <v>13.456310679611649</v>
      </c>
      <c r="O24" s="63">
        <f t="shared" si="9"/>
        <v>13.456310679611649</v>
      </c>
      <c r="P24" s="63">
        <f t="shared" si="9"/>
        <v>13.456310679611649</v>
      </c>
      <c r="Q24" s="63">
        <f t="shared" si="9"/>
        <v>13.456310679611649</v>
      </c>
      <c r="R24" s="63">
        <f t="shared" si="9"/>
        <v>13.456310679611649</v>
      </c>
      <c r="S24" s="63">
        <f t="shared" si="9"/>
        <v>13.456310679611649</v>
      </c>
      <c r="T24" s="63">
        <f t="shared" si="9"/>
        <v>13.456310679611649</v>
      </c>
      <c r="U24" s="63">
        <f t="shared" si="9"/>
        <v>13.456310679611649</v>
      </c>
      <c r="V24" s="63">
        <f t="shared" si="9"/>
        <v>13.456310679611649</v>
      </c>
      <c r="W24" s="63">
        <f t="shared" si="9"/>
        <v>13.456310679611649</v>
      </c>
      <c r="X24" s="63">
        <f t="shared" si="9"/>
        <v>13.456310679611649</v>
      </c>
      <c r="Y24" s="63">
        <f t="shared" si="9"/>
        <v>13.456310679611649</v>
      </c>
      <c r="Z24" s="63">
        <f t="shared" si="9"/>
        <v>13.456310679611649</v>
      </c>
      <c r="AA24" s="63">
        <f t="shared" si="9"/>
        <v>13.456310679611649</v>
      </c>
      <c r="AB24" s="63">
        <f t="shared" si="9"/>
        <v>13.456310679611649</v>
      </c>
      <c r="AC24" s="63">
        <f t="shared" si="9"/>
        <v>13.456310679611649</v>
      </c>
      <c r="AD24" s="63">
        <f t="shared" si="9"/>
        <v>13.456310679611649</v>
      </c>
      <c r="AE24" s="63">
        <f t="shared" si="9"/>
        <v>13.456310679611649</v>
      </c>
    </row>
    <row r="25" spans="2:31">
      <c r="B25" s="114"/>
      <c r="C25" s="120" t="s">
        <v>147</v>
      </c>
      <c r="D25" s="121"/>
      <c r="E25" s="122" t="s">
        <v>148</v>
      </c>
      <c r="F25" s="42" t="s">
        <v>149</v>
      </c>
      <c r="G25" s="42" t="s">
        <v>150</v>
      </c>
      <c r="H25" s="123">
        <f>H23*H$17</f>
        <v>69.092814839105273</v>
      </c>
      <c r="I25" s="34">
        <f>I23*I$17</f>
        <v>149.70109881806019</v>
      </c>
      <c r="J25" s="123">
        <f t="shared" ref="J25:AE25" si="10">J23*J$17</f>
        <v>195.76297537746336</v>
      </c>
      <c r="K25" s="123">
        <f t="shared" si="10"/>
        <v>276.37125935641865</v>
      </c>
      <c r="L25" s="123">
        <f t="shared" si="10"/>
        <v>391.52595075492599</v>
      </c>
      <c r="M25" s="123">
        <f t="shared" si="10"/>
        <v>518.19611129328416</v>
      </c>
      <c r="N25" s="123">
        <f t="shared" si="10"/>
        <v>644.86627183164251</v>
      </c>
      <c r="O25" s="123">
        <f t="shared" si="10"/>
        <v>771.53643237000063</v>
      </c>
      <c r="P25" s="123">
        <f t="shared" si="10"/>
        <v>886.69112376850819</v>
      </c>
      <c r="Q25" s="123">
        <f t="shared" si="10"/>
        <v>1020.2705657907769</v>
      </c>
      <c r="R25" s="123">
        <f t="shared" si="10"/>
        <v>1153.8500078130453</v>
      </c>
      <c r="S25" s="123">
        <f t="shared" si="10"/>
        <v>1287.429449835314</v>
      </c>
      <c r="T25" s="123">
        <f t="shared" si="10"/>
        <v>1421.008891857583</v>
      </c>
      <c r="U25" s="123">
        <f t="shared" si="10"/>
        <v>1554.5883338798515</v>
      </c>
      <c r="V25" s="123">
        <f t="shared" si="10"/>
        <v>1625.984242546926</v>
      </c>
      <c r="W25" s="123">
        <f t="shared" si="10"/>
        <v>1697.380151214001</v>
      </c>
      <c r="X25" s="123">
        <f t="shared" si="10"/>
        <v>1768.7760598810758</v>
      </c>
      <c r="Y25" s="123">
        <f t="shared" si="10"/>
        <v>1840.1719685481503</v>
      </c>
      <c r="Z25" s="123">
        <f t="shared" si="10"/>
        <v>1911.5678772152246</v>
      </c>
      <c r="AA25" s="123">
        <f t="shared" si="10"/>
        <v>1980.6606920543288</v>
      </c>
      <c r="AB25" s="123">
        <f t="shared" si="10"/>
        <v>2049.7535068934335</v>
      </c>
      <c r="AC25" s="123">
        <f t="shared" si="10"/>
        <v>2118.8463217325379</v>
      </c>
      <c r="AD25" s="123">
        <f t="shared" si="10"/>
        <v>2187.9391365716424</v>
      </c>
      <c r="AE25" s="123">
        <f t="shared" si="10"/>
        <v>2257.0319514107468</v>
      </c>
    </row>
    <row r="26" spans="2:31">
      <c r="B26" s="114" t="s">
        <v>151</v>
      </c>
      <c r="C26" s="54" t="s">
        <v>152</v>
      </c>
      <c r="D26" s="119" t="str">
        <f>Input_LNG_engine</f>
        <v>Diesel dual fuel (HP)</v>
      </c>
      <c r="E26" s="68" t="s">
        <v>129</v>
      </c>
      <c r="F26" s="116"/>
      <c r="G26" s="46" t="s">
        <v>123</v>
      </c>
      <c r="H26" s="117">
        <f>INDEX(Calculation_emission,MATCH(Input_Emissions_Scope,Calculation_emission_rows,0),MATCH($D26,Calculation_emissions_columns,0))</f>
        <v>76.129158859470465</v>
      </c>
      <c r="I26" s="117">
        <f t="shared" ref="I26:AE26" si="11">INDEX(Calculation_emission,MATCH(Input_Emissions_Scope,Calculation_emission_rows,0),MATCH($D26,Calculation_emissions_columns,0))</f>
        <v>76.129158859470465</v>
      </c>
      <c r="J26" s="117">
        <f t="shared" si="11"/>
        <v>76.129158859470465</v>
      </c>
      <c r="K26" s="117">
        <f t="shared" si="11"/>
        <v>76.129158859470465</v>
      </c>
      <c r="L26" s="117">
        <f t="shared" si="11"/>
        <v>76.129158859470465</v>
      </c>
      <c r="M26" s="117">
        <f t="shared" si="11"/>
        <v>76.129158859470465</v>
      </c>
      <c r="N26" s="117">
        <f t="shared" si="11"/>
        <v>76.129158859470465</v>
      </c>
      <c r="O26" s="117">
        <f t="shared" si="11"/>
        <v>76.129158859470465</v>
      </c>
      <c r="P26" s="117">
        <f t="shared" si="11"/>
        <v>76.129158859470465</v>
      </c>
      <c r="Q26" s="117">
        <f t="shared" si="11"/>
        <v>76.129158859470465</v>
      </c>
      <c r="R26" s="117">
        <f t="shared" si="11"/>
        <v>76.129158859470465</v>
      </c>
      <c r="S26" s="117">
        <f t="shared" si="11"/>
        <v>76.129158859470465</v>
      </c>
      <c r="T26" s="117">
        <f t="shared" si="11"/>
        <v>76.129158859470465</v>
      </c>
      <c r="U26" s="117">
        <f t="shared" si="11"/>
        <v>76.129158859470465</v>
      </c>
      <c r="V26" s="117">
        <f t="shared" si="11"/>
        <v>76.129158859470465</v>
      </c>
      <c r="W26" s="117">
        <f t="shared" si="11"/>
        <v>76.129158859470465</v>
      </c>
      <c r="X26" s="117">
        <f t="shared" si="11"/>
        <v>76.129158859470465</v>
      </c>
      <c r="Y26" s="117">
        <f t="shared" si="11"/>
        <v>76.129158859470465</v>
      </c>
      <c r="Z26" s="117">
        <f t="shared" si="11"/>
        <v>76.129158859470465</v>
      </c>
      <c r="AA26" s="117">
        <f t="shared" si="11"/>
        <v>76.129158859470465</v>
      </c>
      <c r="AB26" s="117">
        <f t="shared" si="11"/>
        <v>76.129158859470465</v>
      </c>
      <c r="AC26" s="117">
        <f t="shared" si="11"/>
        <v>76.129158859470465</v>
      </c>
      <c r="AD26" s="117">
        <f t="shared" si="11"/>
        <v>76.129158859470465</v>
      </c>
      <c r="AE26" s="117">
        <f t="shared" si="11"/>
        <v>76.129158859470465</v>
      </c>
    </row>
    <row r="27" spans="2:31">
      <c r="B27" s="114"/>
      <c r="C27" s="24" t="s">
        <v>153</v>
      </c>
      <c r="D27" s="35"/>
      <c r="E27" s="35" t="s">
        <v>139</v>
      </c>
      <c r="F27" s="27" t="s">
        <v>140</v>
      </c>
      <c r="G27" s="27" t="s">
        <v>141</v>
      </c>
      <c r="H27" s="32">
        <f>H26/1000</f>
        <v>7.6129158859470469E-2</v>
      </c>
      <c r="I27" s="32">
        <f t="shared" ref="I27:AE27" si="12">I26/1000</f>
        <v>7.6129158859470469E-2</v>
      </c>
      <c r="J27" s="32">
        <f t="shared" si="12"/>
        <v>7.6129158859470469E-2</v>
      </c>
      <c r="K27" s="32">
        <f t="shared" si="12"/>
        <v>7.6129158859470469E-2</v>
      </c>
      <c r="L27" s="32">
        <f t="shared" si="12"/>
        <v>7.6129158859470469E-2</v>
      </c>
      <c r="M27" s="32">
        <f t="shared" si="12"/>
        <v>7.6129158859470469E-2</v>
      </c>
      <c r="N27" s="32">
        <f t="shared" si="12"/>
        <v>7.6129158859470469E-2</v>
      </c>
      <c r="O27" s="32">
        <f t="shared" si="12"/>
        <v>7.6129158859470469E-2</v>
      </c>
      <c r="P27" s="32">
        <f t="shared" si="12"/>
        <v>7.6129158859470469E-2</v>
      </c>
      <c r="Q27" s="32">
        <f t="shared" si="12"/>
        <v>7.6129158859470469E-2</v>
      </c>
      <c r="R27" s="32">
        <f t="shared" si="12"/>
        <v>7.6129158859470469E-2</v>
      </c>
      <c r="S27" s="32">
        <f t="shared" si="12"/>
        <v>7.6129158859470469E-2</v>
      </c>
      <c r="T27" s="32">
        <f t="shared" si="12"/>
        <v>7.6129158859470469E-2</v>
      </c>
      <c r="U27" s="32">
        <f t="shared" si="12"/>
        <v>7.6129158859470469E-2</v>
      </c>
      <c r="V27" s="32">
        <f t="shared" si="12"/>
        <v>7.6129158859470469E-2</v>
      </c>
      <c r="W27" s="32">
        <f t="shared" si="12"/>
        <v>7.6129158859470469E-2</v>
      </c>
      <c r="X27" s="32">
        <f t="shared" si="12"/>
        <v>7.6129158859470469E-2</v>
      </c>
      <c r="Y27" s="32">
        <f t="shared" si="12"/>
        <v>7.6129158859470469E-2</v>
      </c>
      <c r="Z27" s="32">
        <f t="shared" si="12"/>
        <v>7.6129158859470469E-2</v>
      </c>
      <c r="AA27" s="32">
        <f t="shared" si="12"/>
        <v>7.6129158859470469E-2</v>
      </c>
      <c r="AB27" s="32">
        <f t="shared" si="12"/>
        <v>7.6129158859470469E-2</v>
      </c>
      <c r="AC27" s="32">
        <f t="shared" si="12"/>
        <v>7.6129158859470469E-2</v>
      </c>
      <c r="AD27" s="32">
        <f t="shared" si="12"/>
        <v>7.6129158859470469E-2</v>
      </c>
      <c r="AE27" s="32">
        <f t="shared" si="12"/>
        <v>7.6129158859470469E-2</v>
      </c>
    </row>
    <row r="28" spans="2:31">
      <c r="B28" s="114"/>
      <c r="C28" s="24" t="s">
        <v>154</v>
      </c>
      <c r="D28" s="35"/>
      <c r="E28" s="35"/>
      <c r="F28" s="27" t="s">
        <v>155</v>
      </c>
      <c r="G28" s="27" t="s">
        <v>156</v>
      </c>
      <c r="H28" s="32">
        <f t="shared" ref="H28:AE28" si="13">MAX((H26-H$14),0)*LSFO_LCV</f>
        <v>0</v>
      </c>
      <c r="I28" s="32">
        <f t="shared" si="13"/>
        <v>0</v>
      </c>
      <c r="J28" s="32">
        <f t="shared" si="13"/>
        <v>0</v>
      </c>
      <c r="K28" s="32">
        <f t="shared" si="13"/>
        <v>0</v>
      </c>
      <c r="L28" s="32">
        <f t="shared" si="13"/>
        <v>0</v>
      </c>
      <c r="M28" s="32">
        <f t="shared" si="13"/>
        <v>0.12362723778567165</v>
      </c>
      <c r="N28" s="32">
        <f t="shared" si="13"/>
        <v>0.33474417201626905</v>
      </c>
      <c r="O28" s="32">
        <f t="shared" si="13"/>
        <v>0.5458611062468659</v>
      </c>
      <c r="P28" s="32">
        <f t="shared" si="13"/>
        <v>0.7377855919110452</v>
      </c>
      <c r="Q28" s="32">
        <f t="shared" si="13"/>
        <v>0.96041799528149296</v>
      </c>
      <c r="R28" s="32">
        <f t="shared" si="13"/>
        <v>1.1830503986519403</v>
      </c>
      <c r="S28" s="32">
        <f t="shared" si="13"/>
        <v>1.4056828020223884</v>
      </c>
      <c r="T28" s="32">
        <f t="shared" si="13"/>
        <v>1.6283152053928365</v>
      </c>
      <c r="U28" s="32">
        <f t="shared" si="13"/>
        <v>1.8509476087632839</v>
      </c>
      <c r="V28" s="32">
        <f t="shared" si="13"/>
        <v>1.9699407898750749</v>
      </c>
      <c r="W28" s="32">
        <f t="shared" si="13"/>
        <v>2.0889339709868664</v>
      </c>
      <c r="X28" s="32">
        <f t="shared" si="13"/>
        <v>2.2079271520986574</v>
      </c>
      <c r="Y28" s="32">
        <f t="shared" si="13"/>
        <v>2.3269203332104484</v>
      </c>
      <c r="Z28" s="32">
        <f t="shared" si="13"/>
        <v>2.445913514322239</v>
      </c>
      <c r="AA28" s="32">
        <f t="shared" si="13"/>
        <v>2.5610682057207463</v>
      </c>
      <c r="AB28" s="32">
        <f t="shared" si="13"/>
        <v>2.6762228971192541</v>
      </c>
      <c r="AC28" s="32">
        <f t="shared" si="13"/>
        <v>2.7913775885177614</v>
      </c>
      <c r="AD28" s="32">
        <f t="shared" si="13"/>
        <v>2.9065322799162687</v>
      </c>
      <c r="AE28" s="32">
        <f t="shared" si="13"/>
        <v>3.021686971314776</v>
      </c>
    </row>
    <row r="29" spans="2:31">
      <c r="B29" s="114"/>
      <c r="C29" s="24" t="s">
        <v>157</v>
      </c>
      <c r="D29" s="35"/>
      <c r="E29" s="35"/>
      <c r="F29" s="27" t="s">
        <v>158</v>
      </c>
      <c r="G29" s="27" t="s">
        <v>159</v>
      </c>
      <c r="H29" s="32">
        <f t="shared" ref="H29:AE29" si="14">MIN((H26-H$14),0)*LSFO_LCV</f>
        <v>-0.62487825630462646</v>
      </c>
      <c r="I29" s="32">
        <f t="shared" si="14"/>
        <v>-0.49053111633970159</v>
      </c>
      <c r="J29" s="32">
        <f t="shared" si="14"/>
        <v>-0.4137613220740296</v>
      </c>
      <c r="K29" s="32">
        <f t="shared" si="14"/>
        <v>-0.27941418210910418</v>
      </c>
      <c r="L29" s="32">
        <f t="shared" si="14"/>
        <v>-8.7489696444925172E-2</v>
      </c>
      <c r="M29" s="32">
        <f t="shared" si="14"/>
        <v>0</v>
      </c>
      <c r="N29" s="32">
        <f t="shared" si="14"/>
        <v>0</v>
      </c>
      <c r="O29" s="32">
        <f t="shared" si="14"/>
        <v>0</v>
      </c>
      <c r="P29" s="32">
        <f t="shared" si="14"/>
        <v>0</v>
      </c>
      <c r="Q29" s="32">
        <f t="shared" si="14"/>
        <v>0</v>
      </c>
      <c r="R29" s="32">
        <f t="shared" si="14"/>
        <v>0</v>
      </c>
      <c r="S29" s="32">
        <f t="shared" si="14"/>
        <v>0</v>
      </c>
      <c r="T29" s="32">
        <f t="shared" si="14"/>
        <v>0</v>
      </c>
      <c r="U29" s="32">
        <f t="shared" si="14"/>
        <v>0</v>
      </c>
      <c r="V29" s="32">
        <f t="shared" si="14"/>
        <v>0</v>
      </c>
      <c r="W29" s="32">
        <f t="shared" si="14"/>
        <v>0</v>
      </c>
      <c r="X29" s="32">
        <f t="shared" si="14"/>
        <v>0</v>
      </c>
      <c r="Y29" s="32">
        <f t="shared" si="14"/>
        <v>0</v>
      </c>
      <c r="Z29" s="32">
        <f t="shared" si="14"/>
        <v>0</v>
      </c>
      <c r="AA29" s="32">
        <f t="shared" si="14"/>
        <v>0</v>
      </c>
      <c r="AB29" s="32">
        <f t="shared" si="14"/>
        <v>0</v>
      </c>
      <c r="AC29" s="32">
        <f t="shared" si="14"/>
        <v>0</v>
      </c>
      <c r="AD29" s="32">
        <f t="shared" si="14"/>
        <v>0</v>
      </c>
      <c r="AE29" s="32">
        <f t="shared" si="14"/>
        <v>0</v>
      </c>
    </row>
    <row r="30" spans="2:31">
      <c r="B30" s="114"/>
      <c r="C30" s="24" t="s">
        <v>160</v>
      </c>
      <c r="D30" s="118" t="str">
        <f>Input_LNG_price</f>
        <v>MMM LNG</v>
      </c>
      <c r="E30" s="35" t="s">
        <v>129</v>
      </c>
      <c r="F30" s="27" t="str">
        <f>IF('CCC Summary'!$C$36="Yes",'CCC Summary'!$D$36,"")</f>
        <v/>
      </c>
      <c r="G30" s="27" t="s">
        <v>146</v>
      </c>
      <c r="H30" s="63">
        <f>IF($D$30="Enter fixed price",Input_LNG_price_value/(LSFO_LCV*1000),INDEX(Fuel_Cost_Variables,MATCH($D$30,Fuel_Cost_Rows,0),MATCH(H$13,Fuel_Cost_Columns,0)))</f>
        <v>14.565286282585156</v>
      </c>
      <c r="I30" s="63">
        <f t="shared" ref="I30:AE30" si="15">IF($D$30="Enter fixed price",Input_LNG_price_value/(LSFO_LCV*1000),INDEX(Fuel_Cost_Variables,MATCH($D$30,Fuel_Cost_Rows,0),MATCH(I$13,Fuel_Cost_Columns,0)))</f>
        <v>13.513486979796285</v>
      </c>
      <c r="J30" s="63">
        <f t="shared" si="15"/>
        <v>12.461687677007411</v>
      </c>
      <c r="K30" s="63">
        <f t="shared" si="15"/>
        <v>11.409888374218541</v>
      </c>
      <c r="L30" s="63">
        <f t="shared" si="15"/>
        <v>11.404711335629472</v>
      </c>
      <c r="M30" s="63">
        <f t="shared" si="15"/>
        <v>11.399534297040399</v>
      </c>
      <c r="N30" s="63">
        <f t="shared" si="15"/>
        <v>11.394357258451331</v>
      </c>
      <c r="O30" s="63">
        <f t="shared" si="15"/>
        <v>11.389180219862256</v>
      </c>
      <c r="P30" s="63">
        <f t="shared" si="15"/>
        <v>11.384003181273181</v>
      </c>
      <c r="Q30" s="63">
        <f t="shared" si="15"/>
        <v>11.359334171568827</v>
      </c>
      <c r="R30" s="63">
        <f t="shared" si="15"/>
        <v>11.334665161864466</v>
      </c>
      <c r="S30" s="63">
        <f t="shared" si="15"/>
        <v>11.309996152160105</v>
      </c>
      <c r="T30" s="63">
        <f t="shared" si="15"/>
        <v>11.285327142455742</v>
      </c>
      <c r="U30" s="63">
        <f t="shared" si="15"/>
        <v>11.26065813275139</v>
      </c>
      <c r="V30" s="63">
        <f t="shared" si="15"/>
        <v>11.236676488740128</v>
      </c>
      <c r="W30" s="63">
        <f t="shared" si="15"/>
        <v>11.212694844728878</v>
      </c>
      <c r="X30" s="63">
        <f t="shared" si="15"/>
        <v>11.18871320071762</v>
      </c>
      <c r="Y30" s="63">
        <f t="shared" si="15"/>
        <v>11.164731556706363</v>
      </c>
      <c r="Z30" s="63">
        <f t="shared" si="15"/>
        <v>11.140749912695105</v>
      </c>
      <c r="AA30" s="63">
        <f t="shared" si="15"/>
        <v>11.119938841184348</v>
      </c>
      <c r="AB30" s="63">
        <f t="shared" si="15"/>
        <v>11.099127769673593</v>
      </c>
      <c r="AC30" s="63">
        <f t="shared" si="15"/>
        <v>11.078316698162839</v>
      </c>
      <c r="AD30" s="63">
        <f t="shared" si="15"/>
        <v>11.057505626652086</v>
      </c>
      <c r="AE30" s="63">
        <f t="shared" si="15"/>
        <v>11.036694555141331</v>
      </c>
    </row>
    <row r="31" spans="2:31">
      <c r="B31" s="114"/>
      <c r="C31" s="120" t="s">
        <v>161</v>
      </c>
      <c r="D31" s="122"/>
      <c r="E31" s="122"/>
      <c r="F31" s="42"/>
      <c r="G31" s="42" t="s">
        <v>162</v>
      </c>
      <c r="H31" s="123">
        <f>MAX(H28*H$17,0)</f>
        <v>0</v>
      </c>
      <c r="I31" s="123">
        <f t="shared" ref="I31:AE31" si="16">MAX(I28*I$17,0)</f>
        <v>0</v>
      </c>
      <c r="J31" s="123">
        <f t="shared" si="16"/>
        <v>0</v>
      </c>
      <c r="K31" s="123">
        <f t="shared" si="16"/>
        <v>0</v>
      </c>
      <c r="L31" s="123">
        <f t="shared" si="16"/>
        <v>0</v>
      </c>
      <c r="M31" s="123">
        <f t="shared" si="16"/>
        <v>74.176342671402992</v>
      </c>
      <c r="N31" s="123">
        <f t="shared" si="16"/>
        <v>200.84650320976144</v>
      </c>
      <c r="O31" s="123">
        <f t="shared" si="16"/>
        <v>327.51666374811953</v>
      </c>
      <c r="P31" s="123">
        <f t="shared" si="16"/>
        <v>442.67135514662709</v>
      </c>
      <c r="Q31" s="123">
        <f t="shared" si="16"/>
        <v>576.25079716889582</v>
      </c>
      <c r="R31" s="123">
        <f t="shared" si="16"/>
        <v>709.8302391911642</v>
      </c>
      <c r="S31" s="123">
        <f t="shared" si="16"/>
        <v>843.40968121343303</v>
      </c>
      <c r="T31" s="123">
        <f t="shared" si="16"/>
        <v>976.98912323570187</v>
      </c>
      <c r="U31" s="123">
        <f t="shared" si="16"/>
        <v>1110.5685652579702</v>
      </c>
      <c r="V31" s="123">
        <f t="shared" si="16"/>
        <v>1181.964473925045</v>
      </c>
      <c r="W31" s="123">
        <f t="shared" si="16"/>
        <v>1253.3603825921198</v>
      </c>
      <c r="X31" s="123">
        <f t="shared" si="16"/>
        <v>1324.7562912591945</v>
      </c>
      <c r="Y31" s="123">
        <f t="shared" si="16"/>
        <v>1396.1521999262691</v>
      </c>
      <c r="Z31" s="123">
        <f t="shared" si="16"/>
        <v>1467.5481085933434</v>
      </c>
      <c r="AA31" s="123">
        <f t="shared" si="16"/>
        <v>1536.6409234324478</v>
      </c>
      <c r="AB31" s="123">
        <f t="shared" si="16"/>
        <v>1605.7337382715525</v>
      </c>
      <c r="AC31" s="123">
        <f t="shared" si="16"/>
        <v>1674.8265531106567</v>
      </c>
      <c r="AD31" s="123">
        <f t="shared" si="16"/>
        <v>1743.9193679497612</v>
      </c>
      <c r="AE31" s="123">
        <f t="shared" si="16"/>
        <v>1813.0121827888656</v>
      </c>
    </row>
    <row r="32" spans="2:31">
      <c r="B32" s="114" t="s">
        <v>25</v>
      </c>
      <c r="C32" s="54" t="s">
        <v>163</v>
      </c>
      <c r="D32" s="124" t="s">
        <v>25</v>
      </c>
      <c r="E32" s="68" t="s">
        <v>129</v>
      </c>
      <c r="F32" s="116"/>
      <c r="G32" s="46" t="s">
        <v>123</v>
      </c>
      <c r="H32" s="117">
        <f t="shared" ref="H32:AE32" si="17">INDEX(Calculation_emission,MATCH(Input_Emissions_Scope,Calculation_emission_rows,0),MATCH($D32,Calculation_emissions_columns,0))</f>
        <v>16.227027027027027</v>
      </c>
      <c r="I32" s="117">
        <f t="shared" si="17"/>
        <v>16.227027027027027</v>
      </c>
      <c r="J32" s="117">
        <f t="shared" si="17"/>
        <v>16.227027027027027</v>
      </c>
      <c r="K32" s="117">
        <f t="shared" si="17"/>
        <v>16.227027027027027</v>
      </c>
      <c r="L32" s="117">
        <f t="shared" si="17"/>
        <v>16.227027027027027</v>
      </c>
      <c r="M32" s="117">
        <f t="shared" si="17"/>
        <v>16.227027027027027</v>
      </c>
      <c r="N32" s="117">
        <f t="shared" si="17"/>
        <v>16.227027027027027</v>
      </c>
      <c r="O32" s="117">
        <f t="shared" si="17"/>
        <v>16.227027027027027</v>
      </c>
      <c r="P32" s="117">
        <f t="shared" si="17"/>
        <v>16.227027027027027</v>
      </c>
      <c r="Q32" s="117">
        <f t="shared" si="17"/>
        <v>16.227027027027027</v>
      </c>
      <c r="R32" s="117">
        <f t="shared" si="17"/>
        <v>16.227027027027027</v>
      </c>
      <c r="S32" s="117">
        <f t="shared" si="17"/>
        <v>16.227027027027027</v>
      </c>
      <c r="T32" s="117">
        <f t="shared" si="17"/>
        <v>16.227027027027027</v>
      </c>
      <c r="U32" s="117">
        <f t="shared" si="17"/>
        <v>16.227027027027027</v>
      </c>
      <c r="V32" s="117">
        <f t="shared" si="17"/>
        <v>16.227027027027027</v>
      </c>
      <c r="W32" s="117">
        <f t="shared" si="17"/>
        <v>16.227027027027027</v>
      </c>
      <c r="X32" s="117">
        <f t="shared" si="17"/>
        <v>16.227027027027027</v>
      </c>
      <c r="Y32" s="117">
        <f t="shared" si="17"/>
        <v>16.227027027027027</v>
      </c>
      <c r="Z32" s="117">
        <f t="shared" si="17"/>
        <v>16.227027027027027</v>
      </c>
      <c r="AA32" s="117">
        <f t="shared" si="17"/>
        <v>16.227027027027027</v>
      </c>
      <c r="AB32" s="117">
        <f t="shared" si="17"/>
        <v>16.227027027027027</v>
      </c>
      <c r="AC32" s="117">
        <f t="shared" si="17"/>
        <v>16.227027027027027</v>
      </c>
      <c r="AD32" s="117">
        <f t="shared" si="17"/>
        <v>16.227027027027027</v>
      </c>
      <c r="AE32" s="117">
        <f t="shared" si="17"/>
        <v>16.227027027027027</v>
      </c>
    </row>
    <row r="33" spans="2:31">
      <c r="B33" s="114"/>
      <c r="C33" s="24" t="s">
        <v>164</v>
      </c>
      <c r="D33" s="35"/>
      <c r="E33" s="35" t="s">
        <v>139</v>
      </c>
      <c r="F33" s="27" t="s">
        <v>140</v>
      </c>
      <c r="G33" s="27" t="s">
        <v>141</v>
      </c>
      <c r="H33" s="32">
        <f>H32/1000</f>
        <v>1.6227027027027028E-2</v>
      </c>
      <c r="I33" s="32">
        <f t="shared" ref="I33" si="18">I32/1000</f>
        <v>1.6227027027027028E-2</v>
      </c>
      <c r="J33" s="32">
        <f t="shared" ref="J33" si="19">J32/1000</f>
        <v>1.6227027027027028E-2</v>
      </c>
      <c r="K33" s="32">
        <f t="shared" ref="K33" si="20">K32/1000</f>
        <v>1.6227027027027028E-2</v>
      </c>
      <c r="L33" s="32">
        <f t="shared" ref="L33" si="21">L32/1000</f>
        <v>1.6227027027027028E-2</v>
      </c>
      <c r="M33" s="32">
        <f t="shared" ref="M33" si="22">M32/1000</f>
        <v>1.6227027027027028E-2</v>
      </c>
      <c r="N33" s="32">
        <f t="shared" ref="N33" si="23">N32/1000</f>
        <v>1.6227027027027028E-2</v>
      </c>
      <c r="O33" s="32">
        <f t="shared" ref="O33" si="24">O32/1000</f>
        <v>1.6227027027027028E-2</v>
      </c>
      <c r="P33" s="32">
        <f t="shared" ref="P33" si="25">P32/1000</f>
        <v>1.6227027027027028E-2</v>
      </c>
      <c r="Q33" s="32">
        <f t="shared" ref="Q33" si="26">Q32/1000</f>
        <v>1.6227027027027028E-2</v>
      </c>
      <c r="R33" s="32">
        <f t="shared" ref="R33" si="27">R32/1000</f>
        <v>1.6227027027027028E-2</v>
      </c>
      <c r="S33" s="32">
        <f t="shared" ref="S33" si="28">S32/1000</f>
        <v>1.6227027027027028E-2</v>
      </c>
      <c r="T33" s="32">
        <f t="shared" ref="T33" si="29">T32/1000</f>
        <v>1.6227027027027028E-2</v>
      </c>
      <c r="U33" s="32">
        <f t="shared" ref="U33" si="30">U32/1000</f>
        <v>1.6227027027027028E-2</v>
      </c>
      <c r="V33" s="32">
        <f t="shared" ref="V33" si="31">V32/1000</f>
        <v>1.6227027027027028E-2</v>
      </c>
      <c r="W33" s="32">
        <f t="shared" ref="W33" si="32">W32/1000</f>
        <v>1.6227027027027028E-2</v>
      </c>
      <c r="X33" s="32">
        <f t="shared" ref="X33" si="33">X32/1000</f>
        <v>1.6227027027027028E-2</v>
      </c>
      <c r="Y33" s="32">
        <f t="shared" ref="Y33" si="34">Y32/1000</f>
        <v>1.6227027027027028E-2</v>
      </c>
      <c r="Z33" s="32">
        <f t="shared" ref="Z33" si="35">Z32/1000</f>
        <v>1.6227027027027028E-2</v>
      </c>
      <c r="AA33" s="32">
        <f t="shared" ref="AA33" si="36">AA32/1000</f>
        <v>1.6227027027027028E-2</v>
      </c>
      <c r="AB33" s="32">
        <f t="shared" ref="AB33" si="37">AB32/1000</f>
        <v>1.6227027027027028E-2</v>
      </c>
      <c r="AC33" s="32">
        <f t="shared" ref="AC33" si="38">AC32/1000</f>
        <v>1.6227027027027028E-2</v>
      </c>
      <c r="AD33" s="32">
        <f t="shared" ref="AD33" si="39">AD32/1000</f>
        <v>1.6227027027027028E-2</v>
      </c>
      <c r="AE33" s="32">
        <f t="shared" ref="AE33" si="40">AE32/1000</f>
        <v>1.6227027027027028E-2</v>
      </c>
    </row>
    <row r="34" spans="2:31">
      <c r="B34" s="114"/>
      <c r="C34" s="24" t="s">
        <v>165</v>
      </c>
      <c r="D34" s="35"/>
      <c r="E34" s="35"/>
      <c r="F34" s="27" t="s">
        <v>166</v>
      </c>
      <c r="G34" s="27" t="s">
        <v>156</v>
      </c>
      <c r="H34" s="32">
        <f>MAX((H32-H$14),0)*LSFO_LCV</f>
        <v>0</v>
      </c>
      <c r="I34" s="32">
        <f t="shared" ref="I34:AE34" si="41">MAX((I32-I$14),0)*LSFO_LCV</f>
        <v>0</v>
      </c>
      <c r="J34" s="32">
        <f t="shared" si="41"/>
        <v>0</v>
      </c>
      <c r="K34" s="32">
        <f t="shared" si="41"/>
        <v>0</v>
      </c>
      <c r="L34" s="32">
        <f t="shared" si="41"/>
        <v>0</v>
      </c>
      <c r="M34" s="32">
        <f t="shared" si="41"/>
        <v>0</v>
      </c>
      <c r="N34" s="32">
        <f t="shared" si="41"/>
        <v>0</v>
      </c>
      <c r="O34" s="32">
        <f t="shared" si="41"/>
        <v>0</v>
      </c>
      <c r="P34" s="32">
        <f t="shared" si="41"/>
        <v>0</v>
      </c>
      <c r="Q34" s="32">
        <f t="shared" si="41"/>
        <v>0</v>
      </c>
      <c r="R34" s="32">
        <f t="shared" si="41"/>
        <v>0</v>
      </c>
      <c r="S34" s="32">
        <f t="shared" si="41"/>
        <v>0</v>
      </c>
      <c r="T34" s="32">
        <f t="shared" si="41"/>
        <v>0</v>
      </c>
      <c r="U34" s="32">
        <f t="shared" si="41"/>
        <v>0</v>
      </c>
      <c r="V34" s="32">
        <f t="shared" si="41"/>
        <v>0</v>
      </c>
      <c r="W34" s="32">
        <f t="shared" si="41"/>
        <v>0</v>
      </c>
      <c r="X34" s="32">
        <f t="shared" si="41"/>
        <v>0</v>
      </c>
      <c r="Y34" s="32">
        <f t="shared" si="41"/>
        <v>0</v>
      </c>
      <c r="Z34" s="32">
        <f t="shared" si="41"/>
        <v>7.8967487417909779E-3</v>
      </c>
      <c r="AA34" s="32">
        <f t="shared" si="41"/>
        <v>0.12305144014029845</v>
      </c>
      <c r="AB34" s="32">
        <f t="shared" si="41"/>
        <v>0.23820613153880607</v>
      </c>
      <c r="AC34" s="32">
        <f t="shared" si="41"/>
        <v>0.35336082293731363</v>
      </c>
      <c r="AD34" s="32">
        <f t="shared" si="41"/>
        <v>0.46851551433582117</v>
      </c>
      <c r="AE34" s="32">
        <f t="shared" si="41"/>
        <v>0.58367020573432826</v>
      </c>
    </row>
    <row r="35" spans="2:31">
      <c r="B35" s="114"/>
      <c r="C35" s="59" t="s">
        <v>167</v>
      </c>
      <c r="D35" s="118" t="str">
        <f>Input_Biodiesel_Price_Source</f>
        <v>LR/UMAS B100 - Avg Price</v>
      </c>
      <c r="E35" s="122" t="s">
        <v>129</v>
      </c>
      <c r="F35" s="42" t="str">
        <f>IF('CCC Summary'!$C$36="Yes",'CCC Summary'!$D$36,"")</f>
        <v/>
      </c>
      <c r="G35" s="42" t="s">
        <v>146</v>
      </c>
      <c r="H35" s="123">
        <f t="shared" ref="H35:AE35" si="42">IF($D$35="Enter fixed price",Input_Biodiesel_Price/(LSFO_LCV*1000),INDEX(Fuel_Cost_Variables,MATCH($D$35,Fuel_Cost_Rows,0),MATCH(H$13,Fuel_Cost_Columns,0)))</f>
        <v>32.599999999999994</v>
      </c>
      <c r="I35" s="123">
        <f t="shared" si="42"/>
        <v>33.900000000000006</v>
      </c>
      <c r="J35" s="123">
        <f t="shared" si="42"/>
        <v>35.199999999999996</v>
      </c>
      <c r="K35" s="123">
        <f t="shared" si="42"/>
        <v>36.5</v>
      </c>
      <c r="L35" s="123">
        <f t="shared" si="42"/>
        <v>37.9</v>
      </c>
      <c r="M35" s="123">
        <f t="shared" si="42"/>
        <v>39.299999999999997</v>
      </c>
      <c r="N35" s="123">
        <f t="shared" si="42"/>
        <v>40.700000000000003</v>
      </c>
      <c r="O35" s="123">
        <f t="shared" si="42"/>
        <v>42.1</v>
      </c>
      <c r="P35" s="123">
        <f t="shared" si="42"/>
        <v>43.5</v>
      </c>
      <c r="Q35" s="123">
        <f t="shared" si="42"/>
        <v>44.9</v>
      </c>
      <c r="R35" s="123">
        <f t="shared" si="42"/>
        <v>46.3</v>
      </c>
      <c r="S35" s="123">
        <f t="shared" si="42"/>
        <v>47.7</v>
      </c>
      <c r="T35" s="123">
        <f t="shared" si="42"/>
        <v>49.1</v>
      </c>
      <c r="U35" s="123">
        <f t="shared" si="42"/>
        <v>50.5</v>
      </c>
      <c r="V35" s="123">
        <f t="shared" si="42"/>
        <v>51.800000000000004</v>
      </c>
      <c r="W35" s="123">
        <f t="shared" si="42"/>
        <v>53.099999999999994</v>
      </c>
      <c r="X35" s="123">
        <f t="shared" si="42"/>
        <v>54.400000000000006</v>
      </c>
      <c r="Y35" s="123">
        <f t="shared" si="42"/>
        <v>55.699999999999996</v>
      </c>
      <c r="Z35" s="123">
        <f t="shared" si="42"/>
        <v>57</v>
      </c>
      <c r="AA35" s="123">
        <f t="shared" si="42"/>
        <v>58.300000000000004</v>
      </c>
      <c r="AB35" s="123">
        <f t="shared" si="42"/>
        <v>59.599999999999994</v>
      </c>
      <c r="AC35" s="123">
        <f t="shared" si="42"/>
        <v>60.900000000000006</v>
      </c>
      <c r="AD35" s="123">
        <f t="shared" si="42"/>
        <v>62.199999999999996</v>
      </c>
      <c r="AE35" s="123">
        <f t="shared" si="42"/>
        <v>63.5</v>
      </c>
    </row>
    <row r="36" spans="2:31">
      <c r="B36" s="114" t="s">
        <v>168</v>
      </c>
      <c r="C36" s="54" t="s">
        <v>169</v>
      </c>
      <c r="D36" s="119" t="str">
        <f>"Bio-methane "&amp;IF(D26="Otto dual fuel (LP)","(LP)","(HP)")</f>
        <v>Bio-methane (HP)</v>
      </c>
      <c r="E36" s="68" t="s">
        <v>129</v>
      </c>
      <c r="F36" s="116"/>
      <c r="G36" s="46" t="s">
        <v>123</v>
      </c>
      <c r="H36" s="117">
        <f t="shared" ref="H36:AE36" si="43">INDEX(Calculation_emission,MATCH(Input_Emissions_Scope,Calculation_emission_rows,0),MATCH($D36,Calculation_emissions_columns,0))</f>
        <v>15.591833999999999</v>
      </c>
      <c r="I36" s="117">
        <f t="shared" si="43"/>
        <v>15.591833999999999</v>
      </c>
      <c r="J36" s="117">
        <f t="shared" si="43"/>
        <v>15.591833999999999</v>
      </c>
      <c r="K36" s="117">
        <f t="shared" si="43"/>
        <v>15.591833999999999</v>
      </c>
      <c r="L36" s="117">
        <f t="shared" si="43"/>
        <v>15.591833999999999</v>
      </c>
      <c r="M36" s="117">
        <f t="shared" si="43"/>
        <v>15.591833999999999</v>
      </c>
      <c r="N36" s="117">
        <f t="shared" si="43"/>
        <v>15.591833999999999</v>
      </c>
      <c r="O36" s="117">
        <f t="shared" si="43"/>
        <v>15.591833999999999</v>
      </c>
      <c r="P36" s="117">
        <f t="shared" si="43"/>
        <v>15.591833999999999</v>
      </c>
      <c r="Q36" s="117">
        <f t="shared" si="43"/>
        <v>15.591833999999999</v>
      </c>
      <c r="R36" s="117">
        <f t="shared" si="43"/>
        <v>15.591833999999999</v>
      </c>
      <c r="S36" s="117">
        <f t="shared" si="43"/>
        <v>15.591833999999999</v>
      </c>
      <c r="T36" s="117">
        <f t="shared" si="43"/>
        <v>15.591833999999999</v>
      </c>
      <c r="U36" s="117">
        <f t="shared" si="43"/>
        <v>15.591833999999999</v>
      </c>
      <c r="V36" s="117">
        <f t="shared" si="43"/>
        <v>15.591833999999999</v>
      </c>
      <c r="W36" s="117">
        <f t="shared" si="43"/>
        <v>15.591833999999999</v>
      </c>
      <c r="X36" s="117">
        <f t="shared" si="43"/>
        <v>15.591833999999999</v>
      </c>
      <c r="Y36" s="117">
        <f t="shared" si="43"/>
        <v>15.591833999999999</v>
      </c>
      <c r="Z36" s="117">
        <f t="shared" si="43"/>
        <v>15.591833999999999</v>
      </c>
      <c r="AA36" s="117">
        <f t="shared" si="43"/>
        <v>15.591833999999999</v>
      </c>
      <c r="AB36" s="117">
        <f t="shared" si="43"/>
        <v>15.591833999999999</v>
      </c>
      <c r="AC36" s="117">
        <f t="shared" si="43"/>
        <v>15.591833999999999</v>
      </c>
      <c r="AD36" s="117">
        <f t="shared" si="43"/>
        <v>15.591833999999999</v>
      </c>
      <c r="AE36" s="117">
        <f t="shared" si="43"/>
        <v>15.591833999999999</v>
      </c>
    </row>
    <row r="37" spans="2:31">
      <c r="B37" s="114"/>
      <c r="C37" s="24" t="s">
        <v>170</v>
      </c>
      <c r="D37" s="35"/>
      <c r="E37" s="35" t="s">
        <v>139</v>
      </c>
      <c r="F37" s="27" t="s">
        <v>140</v>
      </c>
      <c r="G37" s="27" t="s">
        <v>141</v>
      </c>
      <c r="H37" s="32">
        <f>H36/1000</f>
        <v>1.5591833999999999E-2</v>
      </c>
      <c r="I37" s="32">
        <f t="shared" ref="I37" si="44">I36/1000</f>
        <v>1.5591833999999999E-2</v>
      </c>
      <c r="J37" s="32">
        <f t="shared" ref="J37" si="45">J36/1000</f>
        <v>1.5591833999999999E-2</v>
      </c>
      <c r="K37" s="32">
        <f t="shared" ref="K37" si="46">K36/1000</f>
        <v>1.5591833999999999E-2</v>
      </c>
      <c r="L37" s="32">
        <f t="shared" ref="L37" si="47">L36/1000</f>
        <v>1.5591833999999999E-2</v>
      </c>
      <c r="M37" s="32">
        <f t="shared" ref="M37" si="48">M36/1000</f>
        <v>1.5591833999999999E-2</v>
      </c>
      <c r="N37" s="32">
        <f t="shared" ref="N37" si="49">N36/1000</f>
        <v>1.5591833999999999E-2</v>
      </c>
      <c r="O37" s="32">
        <f t="shared" ref="O37" si="50">O36/1000</f>
        <v>1.5591833999999999E-2</v>
      </c>
      <c r="P37" s="32">
        <f t="shared" ref="P37" si="51">P36/1000</f>
        <v>1.5591833999999999E-2</v>
      </c>
      <c r="Q37" s="32">
        <f t="shared" ref="Q37" si="52">Q36/1000</f>
        <v>1.5591833999999999E-2</v>
      </c>
      <c r="R37" s="32">
        <f t="shared" ref="R37" si="53">R36/1000</f>
        <v>1.5591833999999999E-2</v>
      </c>
      <c r="S37" s="32">
        <f t="shared" ref="S37" si="54">S36/1000</f>
        <v>1.5591833999999999E-2</v>
      </c>
      <c r="T37" s="32">
        <f t="shared" ref="T37" si="55">T36/1000</f>
        <v>1.5591833999999999E-2</v>
      </c>
      <c r="U37" s="32">
        <f t="shared" ref="U37" si="56">U36/1000</f>
        <v>1.5591833999999999E-2</v>
      </c>
      <c r="V37" s="32">
        <f t="shared" ref="V37" si="57">V36/1000</f>
        <v>1.5591833999999999E-2</v>
      </c>
      <c r="W37" s="32">
        <f t="shared" ref="W37" si="58">W36/1000</f>
        <v>1.5591833999999999E-2</v>
      </c>
      <c r="X37" s="32">
        <f t="shared" ref="X37" si="59">X36/1000</f>
        <v>1.5591833999999999E-2</v>
      </c>
      <c r="Y37" s="32">
        <f t="shared" ref="Y37" si="60">Y36/1000</f>
        <v>1.5591833999999999E-2</v>
      </c>
      <c r="Z37" s="32">
        <f t="shared" ref="Z37" si="61">Z36/1000</f>
        <v>1.5591833999999999E-2</v>
      </c>
      <c r="AA37" s="32">
        <f t="shared" ref="AA37" si="62">AA36/1000</f>
        <v>1.5591833999999999E-2</v>
      </c>
      <c r="AB37" s="32">
        <f t="shared" ref="AB37" si="63">AB36/1000</f>
        <v>1.5591833999999999E-2</v>
      </c>
      <c r="AC37" s="32">
        <f t="shared" ref="AC37" si="64">AC36/1000</f>
        <v>1.5591833999999999E-2</v>
      </c>
      <c r="AD37" s="32">
        <f t="shared" ref="AD37" si="65">AD36/1000</f>
        <v>1.5591833999999999E-2</v>
      </c>
      <c r="AE37" s="32">
        <f t="shared" ref="AE37" si="66">AE36/1000</f>
        <v>1.5591833999999999E-2</v>
      </c>
    </row>
    <row r="38" spans="2:31">
      <c r="B38" s="114"/>
      <c r="C38" s="24" t="s">
        <v>171</v>
      </c>
      <c r="D38" s="35"/>
      <c r="E38" s="35"/>
      <c r="F38" s="27" t="s">
        <v>172</v>
      </c>
      <c r="G38" s="27" t="s">
        <v>156</v>
      </c>
      <c r="H38" s="32">
        <f t="shared" ref="H38:AE38" si="67">MAX((H36-H$14),0)*LSFO_LCV</f>
        <v>0</v>
      </c>
      <c r="I38" s="32">
        <f t="shared" si="67"/>
        <v>0</v>
      </c>
      <c r="J38" s="32">
        <f t="shared" si="67"/>
        <v>0</v>
      </c>
      <c r="K38" s="32">
        <f t="shared" si="67"/>
        <v>0</v>
      </c>
      <c r="L38" s="32">
        <f t="shared" si="67"/>
        <v>0</v>
      </c>
      <c r="M38" s="32">
        <f t="shared" si="67"/>
        <v>0</v>
      </c>
      <c r="N38" s="32">
        <f t="shared" si="67"/>
        <v>0</v>
      </c>
      <c r="O38" s="32">
        <f t="shared" si="67"/>
        <v>0</v>
      </c>
      <c r="P38" s="32">
        <f t="shared" si="67"/>
        <v>0</v>
      </c>
      <c r="Q38" s="32">
        <f t="shared" si="67"/>
        <v>0</v>
      </c>
      <c r="R38" s="32">
        <f t="shared" si="67"/>
        <v>0</v>
      </c>
      <c r="S38" s="32">
        <f t="shared" si="67"/>
        <v>0</v>
      </c>
      <c r="T38" s="32">
        <f t="shared" si="67"/>
        <v>0</v>
      </c>
      <c r="U38" s="32">
        <f t="shared" si="67"/>
        <v>0</v>
      </c>
      <c r="V38" s="32">
        <f t="shared" si="67"/>
        <v>0</v>
      </c>
      <c r="W38" s="32">
        <f t="shared" si="67"/>
        <v>0</v>
      </c>
      <c r="X38" s="32">
        <f t="shared" si="67"/>
        <v>0</v>
      </c>
      <c r="Y38" s="32">
        <f t="shared" si="67"/>
        <v>0</v>
      </c>
      <c r="Z38" s="32">
        <f t="shared" si="67"/>
        <v>0</v>
      </c>
      <c r="AA38" s="32">
        <f t="shared" si="67"/>
        <v>9.7199083940298386E-2</v>
      </c>
      <c r="AB38" s="32">
        <f t="shared" si="67"/>
        <v>0.21235377533880601</v>
      </c>
      <c r="AC38" s="32">
        <f t="shared" si="67"/>
        <v>0.32750846673731354</v>
      </c>
      <c r="AD38" s="32">
        <f t="shared" si="67"/>
        <v>0.44266315813582113</v>
      </c>
      <c r="AE38" s="32">
        <f t="shared" si="67"/>
        <v>0.55781784953432823</v>
      </c>
    </row>
    <row r="39" spans="2:31">
      <c r="B39" s="114"/>
      <c r="C39" s="59" t="s">
        <v>173</v>
      </c>
      <c r="D39" s="118" t="str">
        <f>Input_Biomethane_Price_Source</f>
        <v>MMM Bio-methane Cost</v>
      </c>
      <c r="E39" s="122" t="s">
        <v>129</v>
      </c>
      <c r="F39" s="42" t="str">
        <f>IF('CCC Summary'!$C$36="Yes",'CCC Summary'!$D$36,"")</f>
        <v/>
      </c>
      <c r="G39" s="42" t="s">
        <v>146</v>
      </c>
      <c r="H39" s="123">
        <f t="shared" ref="H39:AE39" si="68">IF($D$39="Enter fixed price",Input_Biomethane_Price/(LSFO_LCV*1000),INDEX(Fuel_Cost_Variables,MATCH($D$39,Fuel_Cost_Rows,0),MATCH(H$13,Fuel_Cost_Columns,0)))</f>
        <v>37.116841929982201</v>
      </c>
      <c r="I39" s="123">
        <f t="shared" si="68"/>
        <v>37.733100403066011</v>
      </c>
      <c r="J39" s="123">
        <f t="shared" si="68"/>
        <v>38.342146911849333</v>
      </c>
      <c r="K39" s="123">
        <f t="shared" si="68"/>
        <v>38.940653333333337</v>
      </c>
      <c r="L39" s="123">
        <f t="shared" si="68"/>
        <v>39.678942813058462</v>
      </c>
      <c r="M39" s="123">
        <f t="shared" si="68"/>
        <v>40.406937977316012</v>
      </c>
      <c r="N39" s="123">
        <f t="shared" si="68"/>
        <v>41.12659098936421</v>
      </c>
      <c r="O39" s="123">
        <f t="shared" si="68"/>
        <v>41.833969319082563</v>
      </c>
      <c r="P39" s="123">
        <f t="shared" si="68"/>
        <v>42.531053333333332</v>
      </c>
      <c r="Q39" s="123">
        <f t="shared" si="68"/>
        <v>43.412034814050593</v>
      </c>
      <c r="R39" s="123">
        <f t="shared" si="68"/>
        <v>44.282938006995622</v>
      </c>
      <c r="S39" s="123">
        <f t="shared" si="68"/>
        <v>45.139003878327202</v>
      </c>
      <c r="T39" s="123">
        <f t="shared" si="68"/>
        <v>45.982628987106438</v>
      </c>
      <c r="U39" s="123">
        <f t="shared" si="68"/>
        <v>46.813813333333343</v>
      </c>
      <c r="V39" s="123">
        <f t="shared" si="68"/>
        <v>47.848447938395338</v>
      </c>
      <c r="W39" s="123">
        <f t="shared" si="68"/>
        <v>48.865752394541651</v>
      </c>
      <c r="X39" s="123">
        <f t="shared" si="68"/>
        <v>49.868573412604043</v>
      </c>
      <c r="Y39" s="123">
        <f t="shared" si="68"/>
        <v>50.856910992582527</v>
      </c>
      <c r="Z39" s="123">
        <f t="shared" si="68"/>
        <v>51.83341333333334</v>
      </c>
      <c r="AA39" s="123">
        <f t="shared" si="68"/>
        <v>53.064461879284543</v>
      </c>
      <c r="AB39" s="123">
        <f t="shared" si="68"/>
        <v>54.27838999249412</v>
      </c>
      <c r="AC39" s="123">
        <f t="shared" si="68"/>
        <v>55.475197672962103</v>
      </c>
      <c r="AD39" s="123">
        <f t="shared" si="68"/>
        <v>56.658093423643798</v>
      </c>
      <c r="AE39" s="123">
        <f t="shared" si="68"/>
        <v>57.820613333333341</v>
      </c>
    </row>
    <row r="40" spans="2:31">
      <c r="B40" s="114" t="s">
        <v>41</v>
      </c>
      <c r="C40" s="54" t="s">
        <v>174</v>
      </c>
      <c r="D40" s="124" t="s">
        <v>41</v>
      </c>
      <c r="E40" s="68" t="s">
        <v>129</v>
      </c>
      <c r="F40" s="116"/>
      <c r="G40" s="46" t="s">
        <v>123</v>
      </c>
      <c r="H40" s="117">
        <f t="shared" ref="H40:AE40" si="69">INDEX(Calculation_emission,MATCH(Input_Emissions_Scope,Calculation_emission_rows,0),MATCH($D40,Calculation_emissions_columns,0))</f>
        <v>9.4311786567164155</v>
      </c>
      <c r="I40" s="117">
        <f t="shared" si="69"/>
        <v>9.4311786567164155</v>
      </c>
      <c r="J40" s="117">
        <f t="shared" si="69"/>
        <v>9.4311786567164155</v>
      </c>
      <c r="K40" s="117">
        <f t="shared" si="69"/>
        <v>9.4311786567164155</v>
      </c>
      <c r="L40" s="117">
        <f t="shared" si="69"/>
        <v>9.4311786567164155</v>
      </c>
      <c r="M40" s="117">
        <f t="shared" si="69"/>
        <v>9.4311786567164155</v>
      </c>
      <c r="N40" s="117">
        <f t="shared" si="69"/>
        <v>9.4311786567164155</v>
      </c>
      <c r="O40" s="117">
        <f t="shared" si="69"/>
        <v>9.4311786567164155</v>
      </c>
      <c r="P40" s="117">
        <f t="shared" si="69"/>
        <v>9.4311786567164155</v>
      </c>
      <c r="Q40" s="117">
        <f t="shared" si="69"/>
        <v>9.4311786567164155</v>
      </c>
      <c r="R40" s="117">
        <f t="shared" si="69"/>
        <v>9.4311786567164155</v>
      </c>
      <c r="S40" s="117">
        <f t="shared" si="69"/>
        <v>9.4311786567164155</v>
      </c>
      <c r="T40" s="117">
        <f t="shared" si="69"/>
        <v>9.4311786567164155</v>
      </c>
      <c r="U40" s="117">
        <f t="shared" si="69"/>
        <v>9.4311786567164155</v>
      </c>
      <c r="V40" s="117">
        <f t="shared" si="69"/>
        <v>9.4311786567164155</v>
      </c>
      <c r="W40" s="117">
        <f t="shared" si="69"/>
        <v>9.4311786567164155</v>
      </c>
      <c r="X40" s="117">
        <f t="shared" si="69"/>
        <v>9.4311786567164155</v>
      </c>
      <c r="Y40" s="117">
        <f t="shared" si="69"/>
        <v>9.4311786567164155</v>
      </c>
      <c r="Z40" s="117">
        <f t="shared" si="69"/>
        <v>9.4311786567164155</v>
      </c>
      <c r="AA40" s="117">
        <f t="shared" si="69"/>
        <v>9.4311786567164155</v>
      </c>
      <c r="AB40" s="117">
        <f t="shared" si="69"/>
        <v>9.4311786567164155</v>
      </c>
      <c r="AC40" s="117">
        <f t="shared" si="69"/>
        <v>9.4311786567164155</v>
      </c>
      <c r="AD40" s="117">
        <f t="shared" si="69"/>
        <v>9.4311786567164155</v>
      </c>
      <c r="AE40" s="117">
        <f t="shared" si="69"/>
        <v>9.4311786567164155</v>
      </c>
    </row>
    <row r="41" spans="2:31">
      <c r="B41" s="114"/>
      <c r="C41" s="24" t="s">
        <v>175</v>
      </c>
      <c r="D41" s="35"/>
      <c r="E41" s="35" t="s">
        <v>139</v>
      </c>
      <c r="F41" s="27" t="s">
        <v>140</v>
      </c>
      <c r="G41" s="27" t="s">
        <v>141</v>
      </c>
      <c r="H41" s="32">
        <f>H40/1000</f>
        <v>9.4311786567164158E-3</v>
      </c>
      <c r="I41" s="32">
        <f t="shared" ref="I41" si="70">I40/1000</f>
        <v>9.4311786567164158E-3</v>
      </c>
      <c r="J41" s="32">
        <f t="shared" ref="J41" si="71">J40/1000</f>
        <v>9.4311786567164158E-3</v>
      </c>
      <c r="K41" s="32">
        <f t="shared" ref="K41" si="72">K40/1000</f>
        <v>9.4311786567164158E-3</v>
      </c>
      <c r="L41" s="32">
        <f t="shared" ref="L41" si="73">L40/1000</f>
        <v>9.4311786567164158E-3</v>
      </c>
      <c r="M41" s="32">
        <f t="shared" ref="M41" si="74">M40/1000</f>
        <v>9.4311786567164158E-3</v>
      </c>
      <c r="N41" s="32">
        <f t="shared" ref="N41" si="75">N40/1000</f>
        <v>9.4311786567164158E-3</v>
      </c>
      <c r="O41" s="32">
        <f t="shared" ref="O41" si="76">O40/1000</f>
        <v>9.4311786567164158E-3</v>
      </c>
      <c r="P41" s="32">
        <f t="shared" ref="P41" si="77">P40/1000</f>
        <v>9.4311786567164158E-3</v>
      </c>
      <c r="Q41" s="32">
        <f t="shared" ref="Q41" si="78">Q40/1000</f>
        <v>9.4311786567164158E-3</v>
      </c>
      <c r="R41" s="32">
        <f t="shared" ref="R41" si="79">R40/1000</f>
        <v>9.4311786567164158E-3</v>
      </c>
      <c r="S41" s="32">
        <f t="shared" ref="S41" si="80">S40/1000</f>
        <v>9.4311786567164158E-3</v>
      </c>
      <c r="T41" s="32">
        <f t="shared" ref="T41" si="81">T40/1000</f>
        <v>9.4311786567164158E-3</v>
      </c>
      <c r="U41" s="32">
        <f t="shared" ref="U41" si="82">U40/1000</f>
        <v>9.4311786567164158E-3</v>
      </c>
      <c r="V41" s="32">
        <f t="shared" ref="V41" si="83">V40/1000</f>
        <v>9.4311786567164158E-3</v>
      </c>
      <c r="W41" s="32">
        <f t="shared" ref="W41" si="84">W40/1000</f>
        <v>9.4311786567164158E-3</v>
      </c>
      <c r="X41" s="32">
        <f t="shared" ref="X41" si="85">X40/1000</f>
        <v>9.4311786567164158E-3</v>
      </c>
      <c r="Y41" s="32">
        <f t="shared" ref="Y41" si="86">Y40/1000</f>
        <v>9.4311786567164158E-3</v>
      </c>
      <c r="Z41" s="32">
        <f t="shared" ref="Z41" si="87">Z40/1000</f>
        <v>9.4311786567164158E-3</v>
      </c>
      <c r="AA41" s="32">
        <f t="shared" ref="AA41" si="88">AA40/1000</f>
        <v>9.4311786567164158E-3</v>
      </c>
      <c r="AB41" s="32">
        <f t="shared" ref="AB41" si="89">AB40/1000</f>
        <v>9.4311786567164158E-3</v>
      </c>
      <c r="AC41" s="32">
        <f t="shared" ref="AC41" si="90">AC40/1000</f>
        <v>9.4311786567164158E-3</v>
      </c>
      <c r="AD41" s="32">
        <f t="shared" ref="AD41" si="91">AD40/1000</f>
        <v>9.4311786567164158E-3</v>
      </c>
      <c r="AE41" s="32">
        <f t="shared" ref="AE41" si="92">AE40/1000</f>
        <v>9.4311786567164158E-3</v>
      </c>
    </row>
    <row r="42" spans="2:31">
      <c r="B42" s="114"/>
      <c r="C42" s="24" t="s">
        <v>176</v>
      </c>
      <c r="D42" s="35"/>
      <c r="E42" s="35"/>
      <c r="F42" s="27" t="s">
        <v>177</v>
      </c>
      <c r="G42" s="27" t="s">
        <v>156</v>
      </c>
      <c r="H42" s="32">
        <f t="shared" ref="H42:AE42" si="93">MAX((H40-H$14),0)*LSFO_LCV</f>
        <v>0</v>
      </c>
      <c r="I42" s="32">
        <f t="shared" si="93"/>
        <v>0</v>
      </c>
      <c r="J42" s="32">
        <f t="shared" si="93"/>
        <v>0</v>
      </c>
      <c r="K42" s="32">
        <f t="shared" si="93"/>
        <v>0</v>
      </c>
      <c r="L42" s="32">
        <f t="shared" si="93"/>
        <v>0</v>
      </c>
      <c r="M42" s="32">
        <f t="shared" si="93"/>
        <v>0</v>
      </c>
      <c r="N42" s="32">
        <f t="shared" si="93"/>
        <v>0</v>
      </c>
      <c r="O42" s="32">
        <f t="shared" si="93"/>
        <v>0</v>
      </c>
      <c r="P42" s="32">
        <f t="shared" si="93"/>
        <v>0</v>
      </c>
      <c r="Q42" s="32">
        <f t="shared" si="93"/>
        <v>0</v>
      </c>
      <c r="R42" s="32">
        <f t="shared" si="93"/>
        <v>0</v>
      </c>
      <c r="S42" s="32">
        <f t="shared" si="93"/>
        <v>0</v>
      </c>
      <c r="T42" s="32">
        <f t="shared" si="93"/>
        <v>0</v>
      </c>
      <c r="U42" s="32">
        <f t="shared" si="93"/>
        <v>0</v>
      </c>
      <c r="V42" s="32">
        <f t="shared" si="93"/>
        <v>0</v>
      </c>
      <c r="W42" s="32">
        <f t="shared" si="93"/>
        <v>0</v>
      </c>
      <c r="X42" s="32">
        <f t="shared" si="93"/>
        <v>0</v>
      </c>
      <c r="Y42" s="32">
        <f t="shared" si="93"/>
        <v>0</v>
      </c>
      <c r="Z42" s="32">
        <f t="shared" si="93"/>
        <v>0</v>
      </c>
      <c r="AA42" s="32">
        <f t="shared" si="93"/>
        <v>0</v>
      </c>
      <c r="AB42" s="32">
        <f t="shared" si="93"/>
        <v>0</v>
      </c>
      <c r="AC42" s="32">
        <f t="shared" si="93"/>
        <v>7.6769794265671723E-2</v>
      </c>
      <c r="AD42" s="32">
        <f t="shared" si="93"/>
        <v>0.19192448566417927</v>
      </c>
      <c r="AE42" s="32">
        <f t="shared" si="93"/>
        <v>0.30707917706268639</v>
      </c>
    </row>
    <row r="43" spans="2:31">
      <c r="B43" s="114"/>
      <c r="C43" s="24" t="s">
        <v>178</v>
      </c>
      <c r="D43" s="35"/>
      <c r="E43" s="35"/>
      <c r="F43" s="27" t="s">
        <v>177</v>
      </c>
      <c r="G43" s="27" t="s">
        <v>159</v>
      </c>
      <c r="H43" s="32">
        <f>MIN((H40-H$14),0)*LSFO_LCV</f>
        <v>-3.3394860505567165</v>
      </c>
      <c r="I43" s="32">
        <f t="shared" ref="I43:AE43" si="94">MIN((I40-I$14),0)*LSFO_LCV</f>
        <v>-3.2051389105917916</v>
      </c>
      <c r="J43" s="32">
        <f t="shared" si="94"/>
        <v>-3.1283691163261196</v>
      </c>
      <c r="K43" s="32">
        <f t="shared" si="94"/>
        <v>-2.9940219763611942</v>
      </c>
      <c r="L43" s="32">
        <f t="shared" si="94"/>
        <v>-2.8020974906970153</v>
      </c>
      <c r="M43" s="32">
        <f t="shared" si="94"/>
        <v>-2.5909805564664183</v>
      </c>
      <c r="N43" s="32">
        <f t="shared" si="94"/>
        <v>-2.3798636222358209</v>
      </c>
      <c r="O43" s="32">
        <f t="shared" si="94"/>
        <v>-2.168746688005224</v>
      </c>
      <c r="P43" s="32">
        <f t="shared" si="94"/>
        <v>-1.9768222023410444</v>
      </c>
      <c r="Q43" s="32">
        <f t="shared" si="94"/>
        <v>-1.7541897989705968</v>
      </c>
      <c r="R43" s="32">
        <f t="shared" si="94"/>
        <v>-1.5315573956001496</v>
      </c>
      <c r="S43" s="32">
        <f t="shared" si="94"/>
        <v>-1.3089249922297013</v>
      </c>
      <c r="T43" s="32">
        <f t="shared" si="94"/>
        <v>-1.0862925888592534</v>
      </c>
      <c r="U43" s="32">
        <f t="shared" si="94"/>
        <v>-0.86366018548880585</v>
      </c>
      <c r="V43" s="32">
        <f t="shared" si="94"/>
        <v>-0.74466700437701483</v>
      </c>
      <c r="W43" s="32">
        <f t="shared" si="94"/>
        <v>-0.62567382326522358</v>
      </c>
      <c r="X43" s="32">
        <f t="shared" si="94"/>
        <v>-0.50668064215343245</v>
      </c>
      <c r="Y43" s="32">
        <f t="shared" si="94"/>
        <v>-0.38768746104164126</v>
      </c>
      <c r="Z43" s="32">
        <f t="shared" si="94"/>
        <v>-0.2686942799298509</v>
      </c>
      <c r="AA43" s="32">
        <f t="shared" si="94"/>
        <v>-0.15353958853134345</v>
      </c>
      <c r="AB43" s="32">
        <f t="shared" si="94"/>
        <v>-3.8384897132835827E-2</v>
      </c>
      <c r="AC43" s="32">
        <f t="shared" si="94"/>
        <v>0</v>
      </c>
      <c r="AD43" s="32">
        <f t="shared" si="94"/>
        <v>0</v>
      </c>
      <c r="AE43" s="32">
        <f t="shared" si="94"/>
        <v>0</v>
      </c>
    </row>
    <row r="44" spans="2:31">
      <c r="B44" s="114"/>
      <c r="C44" s="24" t="s">
        <v>179</v>
      </c>
      <c r="D44" s="118" t="str">
        <f>Input_ZNZ_Cost_Source</f>
        <v>Enter fixed price</v>
      </c>
      <c r="E44" s="35" t="s">
        <v>129</v>
      </c>
      <c r="F44" s="27" t="str">
        <f>IF('CCC Summary'!$C$36="Yes",'CCC Summary'!$D$36,"")</f>
        <v/>
      </c>
      <c r="G44" s="27" t="s">
        <v>146</v>
      </c>
      <c r="H44" s="32">
        <f>IF($D$44="Enter fixed price",Input_ZNZ_FixedPrice/(LSFO_LCV*1000),INDEX(Fuel_Cost_Variables,MATCH($D$44,Fuel_Cost_Rows,0),MATCH(H$13,Fuel_Cost_Columns,0)))</f>
        <v>41.769041769041763</v>
      </c>
      <c r="I44" s="63">
        <f t="shared" ref="I44:AE44" si="95">IF($D$44="Enter fixed price",Input_ZNZ_FixedPrice/(LSFO_LCV*1000),INDEX(Fuel_Cost_Variables,MATCH($D$44,Fuel_Cost_Rows,0),MATCH(I$13,Fuel_Cost_Columns,0)))</f>
        <v>41.769041769041763</v>
      </c>
      <c r="J44" s="63">
        <f t="shared" si="95"/>
        <v>41.769041769041763</v>
      </c>
      <c r="K44" s="63">
        <f t="shared" si="95"/>
        <v>41.769041769041763</v>
      </c>
      <c r="L44" s="63">
        <f t="shared" si="95"/>
        <v>41.769041769041763</v>
      </c>
      <c r="M44" s="63">
        <f t="shared" si="95"/>
        <v>41.769041769041763</v>
      </c>
      <c r="N44" s="63">
        <f t="shared" si="95"/>
        <v>41.769041769041763</v>
      </c>
      <c r="O44" s="63">
        <f t="shared" si="95"/>
        <v>41.769041769041763</v>
      </c>
      <c r="P44" s="63">
        <f t="shared" si="95"/>
        <v>41.769041769041763</v>
      </c>
      <c r="Q44" s="63">
        <f t="shared" si="95"/>
        <v>41.769041769041763</v>
      </c>
      <c r="R44" s="63">
        <f t="shared" si="95"/>
        <v>41.769041769041763</v>
      </c>
      <c r="S44" s="63">
        <f t="shared" si="95"/>
        <v>41.769041769041763</v>
      </c>
      <c r="T44" s="63">
        <f t="shared" si="95"/>
        <v>41.769041769041763</v>
      </c>
      <c r="U44" s="63">
        <f t="shared" si="95"/>
        <v>41.769041769041763</v>
      </c>
      <c r="V44" s="63">
        <f t="shared" si="95"/>
        <v>41.769041769041763</v>
      </c>
      <c r="W44" s="63">
        <f t="shared" si="95"/>
        <v>41.769041769041763</v>
      </c>
      <c r="X44" s="63">
        <f t="shared" si="95"/>
        <v>41.769041769041763</v>
      </c>
      <c r="Y44" s="63">
        <f t="shared" si="95"/>
        <v>41.769041769041763</v>
      </c>
      <c r="Z44" s="63">
        <f t="shared" si="95"/>
        <v>41.769041769041763</v>
      </c>
      <c r="AA44" s="63">
        <f t="shared" si="95"/>
        <v>41.769041769041763</v>
      </c>
      <c r="AB44" s="63">
        <f t="shared" si="95"/>
        <v>41.769041769041763</v>
      </c>
      <c r="AC44" s="63">
        <f t="shared" si="95"/>
        <v>41.769041769041763</v>
      </c>
      <c r="AD44" s="63">
        <f t="shared" si="95"/>
        <v>41.769041769041763</v>
      </c>
      <c r="AE44" s="63">
        <f t="shared" si="95"/>
        <v>41.769041769041763</v>
      </c>
    </row>
    <row r="46" spans="2:31">
      <c r="C46" s="30" t="s">
        <v>180</v>
      </c>
    </row>
    <row r="47" spans="2:31" ht="30">
      <c r="C47" s="61" t="s">
        <v>181</v>
      </c>
      <c r="D47" s="65" t="s">
        <v>136</v>
      </c>
      <c r="E47" s="65" t="s">
        <v>94</v>
      </c>
      <c r="F47" s="65" t="s">
        <v>118</v>
      </c>
      <c r="G47" s="51" t="s">
        <v>119</v>
      </c>
      <c r="H47" s="51">
        <v>2027</v>
      </c>
      <c r="I47" s="61">
        <v>2028</v>
      </c>
      <c r="J47" s="61">
        <v>2029</v>
      </c>
      <c r="K47" s="61">
        <v>2030</v>
      </c>
      <c r="L47" s="61">
        <v>2031</v>
      </c>
      <c r="M47" s="61">
        <v>2032</v>
      </c>
      <c r="N47" s="61">
        <v>2033</v>
      </c>
      <c r="O47" s="61">
        <v>2034</v>
      </c>
      <c r="P47" s="61">
        <v>2035</v>
      </c>
      <c r="Q47" s="51">
        <v>2036</v>
      </c>
      <c r="R47" s="51">
        <v>2037</v>
      </c>
      <c r="S47" s="61">
        <v>2038</v>
      </c>
      <c r="T47" s="61">
        <v>2039</v>
      </c>
      <c r="U47" s="61">
        <v>2040</v>
      </c>
      <c r="V47" s="61">
        <v>2041</v>
      </c>
      <c r="W47" s="61">
        <v>2042</v>
      </c>
      <c r="X47" s="61">
        <v>2043</v>
      </c>
      <c r="Y47" s="61">
        <v>2044</v>
      </c>
      <c r="Z47" s="61">
        <v>2045</v>
      </c>
      <c r="AA47" s="51">
        <v>2046</v>
      </c>
      <c r="AB47" s="51">
        <v>2047</v>
      </c>
      <c r="AC47" s="61">
        <v>2048</v>
      </c>
      <c r="AD47" s="61">
        <v>2049</v>
      </c>
      <c r="AE47" s="61">
        <v>2050</v>
      </c>
    </row>
    <row r="48" spans="2:31">
      <c r="C48" t="s">
        <v>41</v>
      </c>
      <c r="D48" s="118" t="str">
        <f>Input_ZNZSurplus_YN</f>
        <v>No</v>
      </c>
      <c r="E48" s="1" t="s">
        <v>182</v>
      </c>
      <c r="F48" s="29" t="s">
        <v>183</v>
      </c>
      <c r="G48" s="1" t="s">
        <v>184</v>
      </c>
      <c r="H48" s="72" t="str">
        <f>IF($D48="No","NA",H100-H15)</f>
        <v>NA</v>
      </c>
      <c r="I48" s="72" t="str">
        <f t="shared" ref="I48:AE48" si="96">IF($D48="No","NA",I100-I15)</f>
        <v>NA</v>
      </c>
      <c r="J48" s="72" t="str">
        <f t="shared" si="96"/>
        <v>NA</v>
      </c>
      <c r="K48" s="72" t="str">
        <f t="shared" si="96"/>
        <v>NA</v>
      </c>
      <c r="L48" s="72" t="str">
        <f t="shared" si="96"/>
        <v>NA</v>
      </c>
      <c r="M48" s="72" t="str">
        <f t="shared" si="96"/>
        <v>NA</v>
      </c>
      <c r="N48" s="72" t="str">
        <f t="shared" si="96"/>
        <v>NA</v>
      </c>
      <c r="O48" s="72" t="str">
        <f t="shared" si="96"/>
        <v>NA</v>
      </c>
      <c r="P48" s="72" t="str">
        <f t="shared" si="96"/>
        <v>NA</v>
      </c>
      <c r="Q48" s="72" t="str">
        <f t="shared" si="96"/>
        <v>NA</v>
      </c>
      <c r="R48" s="72" t="str">
        <f t="shared" si="96"/>
        <v>NA</v>
      </c>
      <c r="S48" s="72" t="str">
        <f t="shared" si="96"/>
        <v>NA</v>
      </c>
      <c r="T48" s="72" t="str">
        <f t="shared" si="96"/>
        <v>NA</v>
      </c>
      <c r="U48" s="72" t="str">
        <f t="shared" si="96"/>
        <v>NA</v>
      </c>
      <c r="V48" s="72" t="str">
        <f t="shared" si="96"/>
        <v>NA</v>
      </c>
      <c r="W48" s="72" t="str">
        <f t="shared" si="96"/>
        <v>NA</v>
      </c>
      <c r="X48" s="72" t="str">
        <f t="shared" si="96"/>
        <v>NA</v>
      </c>
      <c r="Y48" s="72" t="str">
        <f t="shared" si="96"/>
        <v>NA</v>
      </c>
      <c r="Z48" s="72" t="str">
        <f t="shared" si="96"/>
        <v>NA</v>
      </c>
      <c r="AA48" s="72" t="str">
        <f t="shared" si="96"/>
        <v>NA</v>
      </c>
      <c r="AB48" s="72" t="str">
        <f t="shared" si="96"/>
        <v>NA</v>
      </c>
      <c r="AC48" s="72" t="str">
        <f t="shared" si="96"/>
        <v>NA</v>
      </c>
      <c r="AD48" s="72" t="str">
        <f t="shared" si="96"/>
        <v>NA</v>
      </c>
      <c r="AE48" s="72" t="str">
        <f t="shared" si="96"/>
        <v>NA</v>
      </c>
    </row>
    <row r="49" spans="2:31">
      <c r="C49" t="s">
        <v>185</v>
      </c>
      <c r="D49" s="118" t="str">
        <f>Input_BiodieselSurplus_YN</f>
        <v>Yes</v>
      </c>
      <c r="E49" s="1" t="s">
        <v>182</v>
      </c>
      <c r="F49"/>
      <c r="G49" s="1" t="s">
        <v>184</v>
      </c>
      <c r="H49" s="72">
        <f>IF($D49="No","NA",H59-H15)</f>
        <v>211.33666789435733</v>
      </c>
      <c r="I49" s="72">
        <f t="shared" ref="I49:AE49" si="97">IF($D49="No","NA",I59-I15)</f>
        <v>233.01152145250202</v>
      </c>
      <c r="J49" s="72">
        <f t="shared" si="97"/>
        <v>254.68637501064654</v>
      </c>
      <c r="K49" s="72">
        <f t="shared" si="97"/>
        <v>276.36122856878904</v>
      </c>
      <c r="L49" s="72">
        <f t="shared" si="97"/>
        <v>294.29046352123032</v>
      </c>
      <c r="M49" s="72">
        <f t="shared" si="97"/>
        <v>312.21969847367154</v>
      </c>
      <c r="N49" s="72">
        <f t="shared" si="97"/>
        <v>330.14893342611293</v>
      </c>
      <c r="O49" s="72">
        <f t="shared" si="97"/>
        <v>348.07816837855415</v>
      </c>
      <c r="P49" s="72">
        <f t="shared" si="97"/>
        <v>366.00740333099543</v>
      </c>
      <c r="Q49" s="72">
        <f t="shared" si="97"/>
        <v>383.93663828343671</v>
      </c>
      <c r="R49" s="72">
        <f t="shared" si="97"/>
        <v>401.86587323587798</v>
      </c>
      <c r="S49" s="72">
        <f t="shared" si="97"/>
        <v>419.79510818831932</v>
      </c>
      <c r="T49" s="72">
        <f t="shared" si="97"/>
        <v>437.7243431407606</v>
      </c>
      <c r="U49" s="72">
        <f t="shared" si="97"/>
        <v>455.65357809320182</v>
      </c>
      <c r="V49" s="72">
        <f t="shared" si="97"/>
        <v>472.30215340618309</v>
      </c>
      <c r="W49" s="72">
        <f t="shared" si="97"/>
        <v>488.95072871916415</v>
      </c>
      <c r="X49" s="72">
        <f t="shared" si="97"/>
        <v>505.59930403214548</v>
      </c>
      <c r="Y49" s="72">
        <f t="shared" si="97"/>
        <v>522.24787934512653</v>
      </c>
      <c r="Z49" s="72">
        <f t="shared" si="97"/>
        <v>538.89645465810781</v>
      </c>
      <c r="AA49" s="72">
        <f t="shared" si="97"/>
        <v>555.54502997108898</v>
      </c>
      <c r="AB49" s="72">
        <f t="shared" si="97"/>
        <v>572.19360528407003</v>
      </c>
      <c r="AC49" s="72">
        <f t="shared" si="97"/>
        <v>588.84218059705142</v>
      </c>
      <c r="AD49" s="72">
        <f t="shared" si="97"/>
        <v>605.49075591003248</v>
      </c>
      <c r="AE49" s="72">
        <f t="shared" si="97"/>
        <v>622.13933122301376</v>
      </c>
    </row>
    <row r="50" spans="2:31">
      <c r="C50" t="s">
        <v>186</v>
      </c>
      <c r="D50" s="118" t="str">
        <f>Input_biomethaneSurplus_YN</f>
        <v>Yes</v>
      </c>
      <c r="E50" s="1" t="s">
        <v>182</v>
      </c>
      <c r="F50"/>
      <c r="G50" s="1" t="s">
        <v>184</v>
      </c>
      <c r="H50" s="72">
        <f>IF($D50="No","NA",H78-H15)</f>
        <v>353.77316153294765</v>
      </c>
      <c r="I50" s="72">
        <f t="shared" ref="I50:AE50" si="98">IF($D50="No","NA",I78-I15)</f>
        <v>381.32736515434755</v>
      </c>
      <c r="J50" s="72">
        <f t="shared" si="98"/>
        <v>408.76243625185032</v>
      </c>
      <c r="K50" s="72">
        <f t="shared" si="98"/>
        <v>436.02339844507316</v>
      </c>
      <c r="L50" s="72">
        <f t="shared" si="98"/>
        <v>448.30452451134806</v>
      </c>
      <c r="M50" s="72">
        <f t="shared" si="98"/>
        <v>460.41560151299274</v>
      </c>
      <c r="N50" s="72">
        <f t="shared" si="98"/>
        <v>472.3888767166768</v>
      </c>
      <c r="O50" s="72">
        <f t="shared" si="98"/>
        <v>484.15938970121209</v>
      </c>
      <c r="P50" s="72">
        <f t="shared" si="98"/>
        <v>495.75985362111692</v>
      </c>
      <c r="Q50" s="72">
        <f t="shared" si="98"/>
        <v>510.72005367164707</v>
      </c>
      <c r="R50" s="72">
        <f t="shared" si="98"/>
        <v>525.51377316170294</v>
      </c>
      <c r="S50" s="72">
        <f t="shared" si="98"/>
        <v>540.06239887452477</v>
      </c>
      <c r="T50" s="72">
        <f t="shared" si="98"/>
        <v>554.40551893308748</v>
      </c>
      <c r="U50" s="72">
        <f t="shared" si="98"/>
        <v>568.54313333739117</v>
      </c>
      <c r="V50" s="72">
        <f t="shared" si="98"/>
        <v>586.03013415103283</v>
      </c>
      <c r="W50" s="72">
        <f t="shared" si="98"/>
        <v>603.23086283494433</v>
      </c>
      <c r="X50" s="72">
        <f t="shared" si="98"/>
        <v>620.1923434497096</v>
      </c>
      <c r="Y50" s="72">
        <f t="shared" si="98"/>
        <v>636.91457599532851</v>
      </c>
      <c r="Z50" s="72">
        <f t="shared" si="98"/>
        <v>653.44130536575506</v>
      </c>
      <c r="AA50" s="72">
        <f t="shared" si="98"/>
        <v>674.12044208624923</v>
      </c>
      <c r="AB50" s="72">
        <f t="shared" si="98"/>
        <v>694.51677092282443</v>
      </c>
      <c r="AC50" s="72">
        <f t="shared" si="98"/>
        <v>714.63029187548102</v>
      </c>
      <c r="AD50" s="72">
        <f t="shared" si="98"/>
        <v>734.51400535285541</v>
      </c>
      <c r="AE50" s="72">
        <f t="shared" si="98"/>
        <v>754.06113572155357</v>
      </c>
    </row>
    <row r="51" spans="2:31">
      <c r="C51" t="s">
        <v>133</v>
      </c>
      <c r="D51" s="71" t="s">
        <v>10</v>
      </c>
      <c r="E51" s="1" t="s">
        <v>187</v>
      </c>
      <c r="F51"/>
      <c r="G51" s="1" t="s">
        <v>188</v>
      </c>
      <c r="H51" s="72">
        <f>Input_RU</f>
        <v>600</v>
      </c>
      <c r="I51" s="72">
        <f t="shared" ref="I51:AE51" si="99">Input_RU</f>
        <v>600</v>
      </c>
      <c r="J51" s="72">
        <f t="shared" si="99"/>
        <v>600</v>
      </c>
      <c r="K51" s="72">
        <f t="shared" si="99"/>
        <v>600</v>
      </c>
      <c r="L51" s="72">
        <f t="shared" si="99"/>
        <v>600</v>
      </c>
      <c r="M51" s="72">
        <f t="shared" si="99"/>
        <v>600</v>
      </c>
      <c r="N51" s="72">
        <f t="shared" si="99"/>
        <v>600</v>
      </c>
      <c r="O51" s="72">
        <f t="shared" si="99"/>
        <v>600</v>
      </c>
      <c r="P51" s="72">
        <f t="shared" si="99"/>
        <v>600</v>
      </c>
      <c r="Q51" s="72">
        <f t="shared" si="99"/>
        <v>600</v>
      </c>
      <c r="R51" s="72">
        <f t="shared" si="99"/>
        <v>600</v>
      </c>
      <c r="S51" s="72">
        <f t="shared" si="99"/>
        <v>600</v>
      </c>
      <c r="T51" s="72">
        <f t="shared" si="99"/>
        <v>600</v>
      </c>
      <c r="U51" s="72">
        <f t="shared" si="99"/>
        <v>600</v>
      </c>
      <c r="V51" s="72">
        <f t="shared" si="99"/>
        <v>600</v>
      </c>
      <c r="W51" s="72">
        <f t="shared" si="99"/>
        <v>600</v>
      </c>
      <c r="X51" s="72">
        <f t="shared" si="99"/>
        <v>600</v>
      </c>
      <c r="Y51" s="72">
        <f t="shared" si="99"/>
        <v>600</v>
      </c>
      <c r="Z51" s="72">
        <f t="shared" si="99"/>
        <v>600</v>
      </c>
      <c r="AA51" s="72">
        <f t="shared" si="99"/>
        <v>600</v>
      </c>
      <c r="AB51" s="72">
        <f t="shared" si="99"/>
        <v>600</v>
      </c>
      <c r="AC51" s="72">
        <f t="shared" si="99"/>
        <v>600</v>
      </c>
      <c r="AD51" s="72">
        <f t="shared" si="99"/>
        <v>600</v>
      </c>
      <c r="AE51" s="72">
        <f t="shared" si="99"/>
        <v>600</v>
      </c>
    </row>
    <row r="52" spans="2:31">
      <c r="C52" t="s">
        <v>189</v>
      </c>
      <c r="D52"/>
      <c r="E52" s="1" t="s">
        <v>190</v>
      </c>
      <c r="F52"/>
      <c r="G52" s="1" t="s">
        <v>191</v>
      </c>
      <c r="H52" s="72">
        <f>MIN(H48:H51)</f>
        <v>211.33666789435733</v>
      </c>
      <c r="I52" s="72">
        <f t="shared" ref="I52" si="100">MIN(I48:I51)</f>
        <v>233.01152145250202</v>
      </c>
      <c r="J52" s="72">
        <f t="shared" ref="J52:AE52" si="101">MIN(J48:J51)</f>
        <v>254.68637501064654</v>
      </c>
      <c r="K52" s="72">
        <f t="shared" si="101"/>
        <v>276.36122856878904</v>
      </c>
      <c r="L52" s="72">
        <f t="shared" si="101"/>
        <v>294.29046352123032</v>
      </c>
      <c r="M52" s="72">
        <f t="shared" si="101"/>
        <v>312.21969847367154</v>
      </c>
      <c r="N52" s="72">
        <f t="shared" si="101"/>
        <v>330.14893342611293</v>
      </c>
      <c r="O52" s="72">
        <f t="shared" si="101"/>
        <v>348.07816837855415</v>
      </c>
      <c r="P52" s="72">
        <f t="shared" si="101"/>
        <v>366.00740333099543</v>
      </c>
      <c r="Q52" s="72">
        <f t="shared" si="101"/>
        <v>383.93663828343671</v>
      </c>
      <c r="R52" s="72">
        <f t="shared" si="101"/>
        <v>401.86587323587798</v>
      </c>
      <c r="S52" s="72">
        <f t="shared" si="101"/>
        <v>419.79510818831932</v>
      </c>
      <c r="T52" s="72">
        <f t="shared" si="101"/>
        <v>437.7243431407606</v>
      </c>
      <c r="U52" s="72">
        <f t="shared" si="101"/>
        <v>455.65357809320182</v>
      </c>
      <c r="V52" s="72">
        <f t="shared" si="101"/>
        <v>472.30215340618309</v>
      </c>
      <c r="W52" s="72">
        <f t="shared" si="101"/>
        <v>488.95072871916415</v>
      </c>
      <c r="X52" s="72">
        <f t="shared" si="101"/>
        <v>505.59930403214548</v>
      </c>
      <c r="Y52" s="72">
        <f t="shared" si="101"/>
        <v>522.24787934512653</v>
      </c>
      <c r="Z52" s="72">
        <f t="shared" si="101"/>
        <v>538.89645465810781</v>
      </c>
      <c r="AA52" s="72">
        <f t="shared" si="101"/>
        <v>555.54502997108898</v>
      </c>
      <c r="AB52" s="72">
        <f t="shared" si="101"/>
        <v>572.19360528407003</v>
      </c>
      <c r="AC52" s="72">
        <f t="shared" si="101"/>
        <v>588.84218059705142</v>
      </c>
      <c r="AD52" s="72">
        <f t="shared" si="101"/>
        <v>600</v>
      </c>
      <c r="AE52" s="72">
        <f t="shared" si="101"/>
        <v>600</v>
      </c>
    </row>
    <row r="53" spans="2:31">
      <c r="D53"/>
      <c r="E53"/>
      <c r="F53"/>
      <c r="G53"/>
    </row>
    <row r="55" spans="2:31">
      <c r="C55" s="30" t="s">
        <v>192</v>
      </c>
      <c r="D55" s="35"/>
      <c r="E55" s="35"/>
      <c r="F55" s="27"/>
      <c r="G55" s="27"/>
    </row>
    <row r="56" spans="2:31" s="70" customFormat="1" ht="30">
      <c r="B56" s="37"/>
      <c r="C56" s="61" t="s">
        <v>135</v>
      </c>
      <c r="D56" s="65" t="s">
        <v>136</v>
      </c>
      <c r="E56" s="65" t="s">
        <v>94</v>
      </c>
      <c r="F56" s="65" t="s">
        <v>118</v>
      </c>
      <c r="G56" s="51" t="s">
        <v>119</v>
      </c>
      <c r="H56" s="51">
        <v>2027</v>
      </c>
      <c r="I56" s="61">
        <v>2028</v>
      </c>
      <c r="J56" s="61">
        <v>2029</v>
      </c>
      <c r="K56" s="61">
        <v>2030</v>
      </c>
      <c r="L56" s="61">
        <v>2031</v>
      </c>
      <c r="M56" s="61">
        <v>2032</v>
      </c>
      <c r="N56" s="61">
        <v>2033</v>
      </c>
      <c r="O56" s="61">
        <v>2034</v>
      </c>
      <c r="P56" s="61">
        <v>2035</v>
      </c>
      <c r="Q56" s="51">
        <v>2036</v>
      </c>
      <c r="R56" s="51">
        <v>2037</v>
      </c>
      <c r="S56" s="61">
        <v>2038</v>
      </c>
      <c r="T56" s="61">
        <v>2039</v>
      </c>
      <c r="U56" s="61">
        <v>2040</v>
      </c>
      <c r="V56" s="61">
        <v>2041</v>
      </c>
      <c r="W56" s="61">
        <v>2042</v>
      </c>
      <c r="X56" s="61">
        <v>2043</v>
      </c>
      <c r="Y56" s="61">
        <v>2044</v>
      </c>
      <c r="Z56" s="61">
        <v>2045</v>
      </c>
      <c r="AA56" s="51">
        <v>2046</v>
      </c>
      <c r="AB56" s="51">
        <v>2047</v>
      </c>
      <c r="AC56" s="61">
        <v>2048</v>
      </c>
      <c r="AD56" s="61">
        <v>2049</v>
      </c>
      <c r="AE56" s="61">
        <v>2050</v>
      </c>
    </row>
    <row r="57" spans="2:31" s="70" customFormat="1">
      <c r="B57" s="37"/>
      <c r="C57" s="24" t="s">
        <v>193</v>
      </c>
      <c r="D57" s="35"/>
      <c r="E57" s="35" t="s">
        <v>194</v>
      </c>
      <c r="F57" s="27" t="s">
        <v>195</v>
      </c>
      <c r="G57" s="27" t="s">
        <v>146</v>
      </c>
      <c r="H57" s="32">
        <f>H$35-H$24</f>
        <v>17.966262135922292</v>
      </c>
      <c r="I57" s="32">
        <f t="shared" ref="I57:AE57" si="102">I$35-I$24</f>
        <v>19.658737864077708</v>
      </c>
      <c r="J57" s="32">
        <f t="shared" si="102"/>
        <v>21.351213592233108</v>
      </c>
      <c r="K57" s="32">
        <f t="shared" si="102"/>
        <v>23.043689320388353</v>
      </c>
      <c r="L57" s="32">
        <f t="shared" si="102"/>
        <v>24.443689320388351</v>
      </c>
      <c r="M57" s="32">
        <f t="shared" si="102"/>
        <v>25.84368932038835</v>
      </c>
      <c r="N57" s="32">
        <f t="shared" si="102"/>
        <v>27.243689320388356</v>
      </c>
      <c r="O57" s="32">
        <f t="shared" si="102"/>
        <v>28.643689320388354</v>
      </c>
      <c r="P57" s="32">
        <f t="shared" si="102"/>
        <v>30.043689320388353</v>
      </c>
      <c r="Q57" s="32">
        <f t="shared" si="102"/>
        <v>31.443689320388351</v>
      </c>
      <c r="R57" s="32">
        <f t="shared" si="102"/>
        <v>32.84368932038835</v>
      </c>
      <c r="S57" s="32">
        <f t="shared" si="102"/>
        <v>34.243689320388356</v>
      </c>
      <c r="T57" s="32">
        <f t="shared" si="102"/>
        <v>35.643689320388354</v>
      </c>
      <c r="U57" s="32">
        <f t="shared" si="102"/>
        <v>37.043689320388353</v>
      </c>
      <c r="V57" s="32">
        <f t="shared" si="102"/>
        <v>38.343689320388357</v>
      </c>
      <c r="W57" s="32">
        <f t="shared" si="102"/>
        <v>39.643689320388347</v>
      </c>
      <c r="X57" s="32">
        <f t="shared" si="102"/>
        <v>40.943689320388359</v>
      </c>
      <c r="Y57" s="32">
        <f t="shared" si="102"/>
        <v>42.243689320388349</v>
      </c>
      <c r="Z57" s="32">
        <f t="shared" si="102"/>
        <v>43.543689320388353</v>
      </c>
      <c r="AA57" s="32">
        <f t="shared" si="102"/>
        <v>44.843689320388357</v>
      </c>
      <c r="AB57" s="32">
        <f t="shared" si="102"/>
        <v>46.143689320388347</v>
      </c>
      <c r="AC57" s="32">
        <f t="shared" si="102"/>
        <v>47.443689320388359</v>
      </c>
      <c r="AD57" s="32">
        <f t="shared" si="102"/>
        <v>48.743689320388349</v>
      </c>
      <c r="AE57" s="32">
        <f t="shared" si="102"/>
        <v>50.043689320388353</v>
      </c>
    </row>
    <row r="58" spans="2:31">
      <c r="C58" s="54" t="s">
        <v>196</v>
      </c>
      <c r="D58" s="68"/>
      <c r="E58" s="68"/>
      <c r="F58" s="46" t="s">
        <v>197</v>
      </c>
      <c r="G58" s="46" t="s">
        <v>198</v>
      </c>
      <c r="H58" s="47">
        <f>H$22-H$33</f>
        <v>7.8084759540137175E-2</v>
      </c>
      <c r="I58" s="47">
        <f t="shared" ref="I58:AE58" si="103">I$22-I$33</f>
        <v>7.8084759540137175E-2</v>
      </c>
      <c r="J58" s="47">
        <f t="shared" si="103"/>
        <v>7.8084759540137175E-2</v>
      </c>
      <c r="K58" s="47">
        <f t="shared" si="103"/>
        <v>7.8084759540137175E-2</v>
      </c>
      <c r="L58" s="47">
        <f t="shared" si="103"/>
        <v>7.8084759540137175E-2</v>
      </c>
      <c r="M58" s="47">
        <f t="shared" si="103"/>
        <v>7.8084759540137175E-2</v>
      </c>
      <c r="N58" s="47">
        <f t="shared" si="103"/>
        <v>7.8084759540137175E-2</v>
      </c>
      <c r="O58" s="47">
        <f t="shared" si="103"/>
        <v>7.8084759540137175E-2</v>
      </c>
      <c r="P58" s="47">
        <f t="shared" si="103"/>
        <v>7.8084759540137175E-2</v>
      </c>
      <c r="Q58" s="47">
        <f t="shared" si="103"/>
        <v>7.8084759540137175E-2</v>
      </c>
      <c r="R58" s="47">
        <f t="shared" si="103"/>
        <v>7.8084759540137175E-2</v>
      </c>
      <c r="S58" s="47">
        <f t="shared" si="103"/>
        <v>7.8084759540137175E-2</v>
      </c>
      <c r="T58" s="47">
        <f t="shared" si="103"/>
        <v>7.8084759540137175E-2</v>
      </c>
      <c r="U58" s="47">
        <f t="shared" si="103"/>
        <v>7.8084759540137175E-2</v>
      </c>
      <c r="V58" s="47">
        <f t="shared" si="103"/>
        <v>7.8084759540137175E-2</v>
      </c>
      <c r="W58" s="47">
        <f t="shared" si="103"/>
        <v>7.8084759540137175E-2</v>
      </c>
      <c r="X58" s="47">
        <f t="shared" si="103"/>
        <v>7.8084759540137175E-2</v>
      </c>
      <c r="Y58" s="47">
        <f t="shared" si="103"/>
        <v>7.8084759540137175E-2</v>
      </c>
      <c r="Z58" s="47">
        <f t="shared" si="103"/>
        <v>7.8084759540137175E-2</v>
      </c>
      <c r="AA58" s="47">
        <f t="shared" si="103"/>
        <v>7.8084759540137175E-2</v>
      </c>
      <c r="AB58" s="47">
        <f t="shared" si="103"/>
        <v>7.8084759540137175E-2</v>
      </c>
      <c r="AC58" s="47">
        <f t="shared" si="103"/>
        <v>7.8084759540137175E-2</v>
      </c>
      <c r="AD58" s="47">
        <f t="shared" si="103"/>
        <v>7.8084759540137175E-2</v>
      </c>
      <c r="AE58" s="47">
        <f t="shared" si="103"/>
        <v>7.8084759540137175E-2</v>
      </c>
    </row>
    <row r="59" spans="2:31">
      <c r="B59" s="125" t="s">
        <v>199</v>
      </c>
      <c r="C59" s="24" t="s">
        <v>200</v>
      </c>
      <c r="D59" s="35"/>
      <c r="E59" s="35" t="s">
        <v>201</v>
      </c>
      <c r="F59" s="27" t="s">
        <v>202</v>
      </c>
      <c r="G59" s="27" t="s">
        <v>184</v>
      </c>
      <c r="H59" s="32">
        <f t="shared" ref="H59" si="104">H57/H58</f>
        <v>230.08666789435733</v>
      </c>
      <c r="I59" s="32">
        <f t="shared" ref="I59:AE59" si="105">I57/I58</f>
        <v>251.76152145250202</v>
      </c>
      <c r="J59" s="32">
        <f t="shared" si="105"/>
        <v>273.43637501064654</v>
      </c>
      <c r="K59" s="32">
        <f t="shared" si="105"/>
        <v>295.11122856878904</v>
      </c>
      <c r="L59" s="32">
        <f t="shared" si="105"/>
        <v>313.04046352123032</v>
      </c>
      <c r="M59" s="32">
        <f t="shared" si="105"/>
        <v>330.96969847367154</v>
      </c>
      <c r="N59" s="32">
        <f t="shared" si="105"/>
        <v>348.89893342611293</v>
      </c>
      <c r="O59" s="32">
        <f t="shared" si="105"/>
        <v>366.82816837855415</v>
      </c>
      <c r="P59" s="32">
        <f t="shared" si="105"/>
        <v>384.75740333099543</v>
      </c>
      <c r="Q59" s="32">
        <f t="shared" si="105"/>
        <v>402.68663828343671</v>
      </c>
      <c r="R59" s="32">
        <f t="shared" si="105"/>
        <v>420.61587323587798</v>
      </c>
      <c r="S59" s="32">
        <f t="shared" si="105"/>
        <v>438.54510818831932</v>
      </c>
      <c r="T59" s="32">
        <f t="shared" si="105"/>
        <v>456.4743431407606</v>
      </c>
      <c r="U59" s="32">
        <f t="shared" si="105"/>
        <v>474.40357809320182</v>
      </c>
      <c r="V59" s="32">
        <f t="shared" si="105"/>
        <v>491.05215340618309</v>
      </c>
      <c r="W59" s="32">
        <f t="shared" si="105"/>
        <v>507.70072871916415</v>
      </c>
      <c r="X59" s="32">
        <f t="shared" si="105"/>
        <v>524.34930403214548</v>
      </c>
      <c r="Y59" s="32">
        <f t="shared" si="105"/>
        <v>540.99787934512653</v>
      </c>
      <c r="Z59" s="32">
        <f t="shared" si="105"/>
        <v>557.64645465810781</v>
      </c>
      <c r="AA59" s="32">
        <f t="shared" si="105"/>
        <v>574.29502997108898</v>
      </c>
      <c r="AB59" s="32">
        <f t="shared" si="105"/>
        <v>590.94360528407003</v>
      </c>
      <c r="AC59" s="32">
        <f t="shared" si="105"/>
        <v>607.59218059705142</v>
      </c>
      <c r="AD59" s="32">
        <f t="shared" si="105"/>
        <v>624.24075591003248</v>
      </c>
      <c r="AE59" s="32">
        <f t="shared" si="105"/>
        <v>640.88933122301376</v>
      </c>
    </row>
    <row r="60" spans="2:31">
      <c r="C60" s="54" t="s">
        <v>203</v>
      </c>
      <c r="D60" s="68"/>
      <c r="E60" s="68" t="s">
        <v>204</v>
      </c>
      <c r="F60" s="46" t="s">
        <v>182</v>
      </c>
      <c r="G60" s="46" t="s">
        <v>184</v>
      </c>
      <c r="H60" s="47">
        <f>H59-H$15</f>
        <v>211.33666789435733</v>
      </c>
      <c r="I60" s="47">
        <f t="shared" ref="I60:AE60" si="106">I59-I$15</f>
        <v>233.01152145250202</v>
      </c>
      <c r="J60" s="47">
        <f t="shared" si="106"/>
        <v>254.68637501064654</v>
      </c>
      <c r="K60" s="47">
        <f t="shared" si="106"/>
        <v>276.36122856878904</v>
      </c>
      <c r="L60" s="47">
        <f t="shared" si="106"/>
        <v>294.29046352123032</v>
      </c>
      <c r="M60" s="47">
        <f t="shared" si="106"/>
        <v>312.21969847367154</v>
      </c>
      <c r="N60" s="47">
        <f t="shared" si="106"/>
        <v>330.14893342611293</v>
      </c>
      <c r="O60" s="47">
        <f t="shared" si="106"/>
        <v>348.07816837855415</v>
      </c>
      <c r="P60" s="47">
        <f t="shared" si="106"/>
        <v>366.00740333099543</v>
      </c>
      <c r="Q60" s="47">
        <f t="shared" si="106"/>
        <v>383.93663828343671</v>
      </c>
      <c r="R60" s="47">
        <f t="shared" si="106"/>
        <v>401.86587323587798</v>
      </c>
      <c r="S60" s="47">
        <f t="shared" si="106"/>
        <v>419.79510818831932</v>
      </c>
      <c r="T60" s="47">
        <f t="shared" si="106"/>
        <v>437.7243431407606</v>
      </c>
      <c r="U60" s="47">
        <f t="shared" si="106"/>
        <v>455.65357809320182</v>
      </c>
      <c r="V60" s="47">
        <f t="shared" si="106"/>
        <v>472.30215340618309</v>
      </c>
      <c r="W60" s="47">
        <f t="shared" si="106"/>
        <v>488.95072871916415</v>
      </c>
      <c r="X60" s="47">
        <f t="shared" si="106"/>
        <v>505.59930403214548</v>
      </c>
      <c r="Y60" s="47">
        <f t="shared" si="106"/>
        <v>522.24787934512653</v>
      </c>
      <c r="Z60" s="47">
        <f t="shared" si="106"/>
        <v>538.89645465810781</v>
      </c>
      <c r="AA60" s="47">
        <f t="shared" si="106"/>
        <v>555.54502997108898</v>
      </c>
      <c r="AB60" s="47">
        <f t="shared" si="106"/>
        <v>572.19360528407003</v>
      </c>
      <c r="AC60" s="47">
        <f t="shared" si="106"/>
        <v>588.84218059705142</v>
      </c>
      <c r="AD60" s="47">
        <f t="shared" si="106"/>
        <v>605.49075591003248</v>
      </c>
      <c r="AE60" s="47">
        <f t="shared" si="106"/>
        <v>622.13933122301376</v>
      </c>
    </row>
    <row r="61" spans="2:31">
      <c r="C61" s="24" t="s">
        <v>205</v>
      </c>
      <c r="D61" s="35"/>
      <c r="E61" s="35" t="s">
        <v>187</v>
      </c>
      <c r="F61" s="27"/>
      <c r="G61" s="27" t="s">
        <v>188</v>
      </c>
      <c r="H61" s="32">
        <f>H17</f>
        <v>600</v>
      </c>
      <c r="I61" s="32">
        <f t="shared" ref="I61:AE61" si="107">I17</f>
        <v>600</v>
      </c>
      <c r="J61" s="32">
        <f t="shared" si="107"/>
        <v>600</v>
      </c>
      <c r="K61" s="32">
        <f t="shared" si="107"/>
        <v>600</v>
      </c>
      <c r="L61" s="32">
        <f t="shared" si="107"/>
        <v>600</v>
      </c>
      <c r="M61" s="32">
        <f t="shared" si="107"/>
        <v>600</v>
      </c>
      <c r="N61" s="32">
        <f t="shared" si="107"/>
        <v>600</v>
      </c>
      <c r="O61" s="32">
        <f t="shared" si="107"/>
        <v>600</v>
      </c>
      <c r="P61" s="32">
        <f t="shared" si="107"/>
        <v>600</v>
      </c>
      <c r="Q61" s="32">
        <f t="shared" si="107"/>
        <v>600</v>
      </c>
      <c r="R61" s="32">
        <f t="shared" si="107"/>
        <v>600</v>
      </c>
      <c r="S61" s="32">
        <f t="shared" si="107"/>
        <v>600</v>
      </c>
      <c r="T61" s="32">
        <f t="shared" si="107"/>
        <v>600</v>
      </c>
      <c r="U61" s="32">
        <f t="shared" si="107"/>
        <v>600</v>
      </c>
      <c r="V61" s="32">
        <f t="shared" si="107"/>
        <v>600</v>
      </c>
      <c r="W61" s="32">
        <f t="shared" si="107"/>
        <v>600</v>
      </c>
      <c r="X61" s="32">
        <f t="shared" si="107"/>
        <v>600</v>
      </c>
      <c r="Y61" s="32">
        <f t="shared" si="107"/>
        <v>600</v>
      </c>
      <c r="Z61" s="32">
        <f t="shared" si="107"/>
        <v>600</v>
      </c>
      <c r="AA61" s="32">
        <f t="shared" si="107"/>
        <v>600</v>
      </c>
      <c r="AB61" s="32">
        <f t="shared" si="107"/>
        <v>600</v>
      </c>
      <c r="AC61" s="32">
        <f t="shared" si="107"/>
        <v>600</v>
      </c>
      <c r="AD61" s="32">
        <f t="shared" si="107"/>
        <v>600</v>
      </c>
      <c r="AE61" s="32">
        <f t="shared" si="107"/>
        <v>600</v>
      </c>
    </row>
    <row r="62" spans="2:31">
      <c r="C62" s="24" t="s">
        <v>206</v>
      </c>
      <c r="D62" s="68"/>
      <c r="E62" s="68" t="s">
        <v>207</v>
      </c>
      <c r="F62" s="46" t="s">
        <v>208</v>
      </c>
      <c r="G62" s="46" t="s">
        <v>188</v>
      </c>
      <c r="H62" s="47">
        <f>MIN(H60:H61)</f>
        <v>211.33666789435733</v>
      </c>
      <c r="I62" s="47">
        <f t="shared" ref="I62:AE62" si="108">MIN(I60:I61)</f>
        <v>233.01152145250202</v>
      </c>
      <c r="J62" s="47">
        <f t="shared" si="108"/>
        <v>254.68637501064654</v>
      </c>
      <c r="K62" s="47">
        <f t="shared" si="108"/>
        <v>276.36122856878904</v>
      </c>
      <c r="L62" s="47">
        <f t="shared" si="108"/>
        <v>294.29046352123032</v>
      </c>
      <c r="M62" s="47">
        <f t="shared" si="108"/>
        <v>312.21969847367154</v>
      </c>
      <c r="N62" s="47">
        <f t="shared" si="108"/>
        <v>330.14893342611293</v>
      </c>
      <c r="O62" s="47">
        <f t="shared" si="108"/>
        <v>348.07816837855415</v>
      </c>
      <c r="P62" s="47">
        <f t="shared" si="108"/>
        <v>366.00740333099543</v>
      </c>
      <c r="Q62" s="47">
        <f t="shared" si="108"/>
        <v>383.93663828343671</v>
      </c>
      <c r="R62" s="47">
        <f t="shared" si="108"/>
        <v>401.86587323587798</v>
      </c>
      <c r="S62" s="47">
        <f t="shared" si="108"/>
        <v>419.79510818831932</v>
      </c>
      <c r="T62" s="47">
        <f t="shared" si="108"/>
        <v>437.7243431407606</v>
      </c>
      <c r="U62" s="47">
        <f t="shared" si="108"/>
        <v>455.65357809320182</v>
      </c>
      <c r="V62" s="47">
        <f t="shared" si="108"/>
        <v>472.30215340618309</v>
      </c>
      <c r="W62" s="47">
        <f t="shared" si="108"/>
        <v>488.95072871916415</v>
      </c>
      <c r="X62" s="47">
        <f t="shared" si="108"/>
        <v>505.59930403214548</v>
      </c>
      <c r="Y62" s="47">
        <f t="shared" si="108"/>
        <v>522.24787934512653</v>
      </c>
      <c r="Z62" s="47">
        <f t="shared" si="108"/>
        <v>538.89645465810781</v>
      </c>
      <c r="AA62" s="47">
        <f t="shared" si="108"/>
        <v>555.54502997108898</v>
      </c>
      <c r="AB62" s="47">
        <f t="shared" si="108"/>
        <v>572.19360528407003</v>
      </c>
      <c r="AC62" s="47">
        <f t="shared" si="108"/>
        <v>588.84218059705142</v>
      </c>
      <c r="AD62" s="47">
        <f t="shared" si="108"/>
        <v>600</v>
      </c>
      <c r="AE62" s="47">
        <f t="shared" si="108"/>
        <v>600</v>
      </c>
    </row>
    <row r="63" spans="2:31">
      <c r="C63" s="24" t="s">
        <v>209</v>
      </c>
      <c r="D63" s="35"/>
      <c r="E63" s="35" t="s">
        <v>210</v>
      </c>
      <c r="F63" s="27" t="s">
        <v>208</v>
      </c>
      <c r="G63" s="27"/>
      <c r="H63" s="32" t="str">
        <f>_xlfn.XLOOKUP(H62,H60:H61,$C60:$C61)</f>
        <v>Bio-diesel abatement cost minus levy savings</v>
      </c>
      <c r="I63" s="32" t="str">
        <f t="shared" ref="I63:AE63" si="109">_xlfn.XLOOKUP(I62,I60:I61,$C60:$C61)</f>
        <v>Bio-diesel abatement cost minus levy savings</v>
      </c>
      <c r="J63" s="32" t="str">
        <f t="shared" si="109"/>
        <v>Bio-diesel abatement cost minus levy savings</v>
      </c>
      <c r="K63" s="32" t="str">
        <f t="shared" si="109"/>
        <v>Bio-diesel abatement cost minus levy savings</v>
      </c>
      <c r="L63" s="32" t="str">
        <f t="shared" si="109"/>
        <v>Bio-diesel abatement cost minus levy savings</v>
      </c>
      <c r="M63" s="32" t="str">
        <f t="shared" si="109"/>
        <v>Bio-diesel abatement cost minus levy savings</v>
      </c>
      <c r="N63" s="32" t="str">
        <f t="shared" si="109"/>
        <v>Bio-diesel abatement cost minus levy savings</v>
      </c>
      <c r="O63" s="32" t="str">
        <f t="shared" si="109"/>
        <v>Bio-diesel abatement cost minus levy savings</v>
      </c>
      <c r="P63" s="32" t="str">
        <f t="shared" si="109"/>
        <v>Bio-diesel abatement cost minus levy savings</v>
      </c>
      <c r="Q63" s="32" t="str">
        <f t="shared" si="109"/>
        <v>Bio-diesel abatement cost minus levy savings</v>
      </c>
      <c r="R63" s="32" t="str">
        <f t="shared" si="109"/>
        <v>Bio-diesel abatement cost minus levy savings</v>
      </c>
      <c r="S63" s="32" t="str">
        <f t="shared" si="109"/>
        <v>Bio-diesel abatement cost minus levy savings</v>
      </c>
      <c r="T63" s="32" t="str">
        <f t="shared" si="109"/>
        <v>Bio-diesel abatement cost minus levy savings</v>
      </c>
      <c r="U63" s="32" t="str">
        <f t="shared" si="109"/>
        <v>Bio-diesel abatement cost minus levy savings</v>
      </c>
      <c r="V63" s="32" t="str">
        <f t="shared" si="109"/>
        <v>Bio-diesel abatement cost minus levy savings</v>
      </c>
      <c r="W63" s="32" t="str">
        <f t="shared" si="109"/>
        <v>Bio-diesel abatement cost minus levy savings</v>
      </c>
      <c r="X63" s="32" t="str">
        <f t="shared" si="109"/>
        <v>Bio-diesel abatement cost minus levy savings</v>
      </c>
      <c r="Y63" s="32" t="str">
        <f t="shared" si="109"/>
        <v>Bio-diesel abatement cost minus levy savings</v>
      </c>
      <c r="Z63" s="32" t="str">
        <f t="shared" si="109"/>
        <v>Bio-diesel abatement cost minus levy savings</v>
      </c>
      <c r="AA63" s="32" t="str">
        <f t="shared" si="109"/>
        <v>Bio-diesel abatement cost minus levy savings</v>
      </c>
      <c r="AB63" s="32" t="str">
        <f t="shared" si="109"/>
        <v>Bio-diesel abatement cost minus levy savings</v>
      </c>
      <c r="AC63" s="32" t="str">
        <f t="shared" si="109"/>
        <v>Bio-diesel abatement cost minus levy savings</v>
      </c>
      <c r="AD63" s="32" t="str">
        <f t="shared" si="109"/>
        <v>Remedial Unit cost</v>
      </c>
      <c r="AE63" s="32" t="str">
        <f t="shared" si="109"/>
        <v>Remedial Unit cost</v>
      </c>
    </row>
    <row r="64" spans="2:31">
      <c r="C64" s="54" t="s">
        <v>211</v>
      </c>
      <c r="D64" s="68"/>
      <c r="E64" s="68" t="s">
        <v>212</v>
      </c>
      <c r="F64" s="46" t="s">
        <v>208</v>
      </c>
      <c r="G64" s="46" t="s">
        <v>162</v>
      </c>
      <c r="H64" s="47">
        <f>IF(H63=$C61,H$25,H$59*H$23)</f>
        <v>26.495559236285899</v>
      </c>
      <c r="I64" s="47">
        <f t="shared" ref="I64:AE64" si="110">IF(I63=$C61,I$25,I$59*I$23)</f>
        <v>62.814960669243646</v>
      </c>
      <c r="J64" s="47">
        <f t="shared" si="110"/>
        <v>89.214530580853392</v>
      </c>
      <c r="K64" s="47">
        <f t="shared" si="110"/>
        <v>135.93376981629356</v>
      </c>
      <c r="L64" s="47">
        <f t="shared" si="110"/>
        <v>204.27244184152073</v>
      </c>
      <c r="M64" s="47">
        <f t="shared" si="110"/>
        <v>285.84535117494562</v>
      </c>
      <c r="N64" s="47">
        <f t="shared" si="110"/>
        <v>374.98859074088983</v>
      </c>
      <c r="O64" s="47">
        <f t="shared" si="110"/>
        <v>471.70216053935258</v>
      </c>
      <c r="P64" s="47">
        <f t="shared" si="110"/>
        <v>568.60162389635582</v>
      </c>
      <c r="Q64" s="47">
        <f t="shared" si="110"/>
        <v>684.74887379637983</v>
      </c>
      <c r="R64" s="47">
        <f t="shared" si="110"/>
        <v>808.87938103251452</v>
      </c>
      <c r="S64" s="47">
        <f t="shared" si="110"/>
        <v>940.99314560476034</v>
      </c>
      <c r="T64" s="47">
        <f t="shared" si="110"/>
        <v>1081.0901675131172</v>
      </c>
      <c r="U64" s="47">
        <f t="shared" si="110"/>
        <v>1229.1704467575844</v>
      </c>
      <c r="V64" s="47">
        <f t="shared" si="110"/>
        <v>1330.7384395119825</v>
      </c>
      <c r="W64" s="47">
        <f t="shared" si="110"/>
        <v>1436.2685661413223</v>
      </c>
      <c r="X64" s="47">
        <f t="shared" si="110"/>
        <v>1545.7608266456041</v>
      </c>
      <c r="Y64" s="47">
        <f t="shared" si="110"/>
        <v>1659.2152210248269</v>
      </c>
      <c r="Z64" s="47">
        <f t="shared" si="110"/>
        <v>1776.6317492789919</v>
      </c>
      <c r="AA64" s="47">
        <f t="shared" si="110"/>
        <v>1895.8059858431643</v>
      </c>
      <c r="AB64" s="47">
        <f t="shared" si="110"/>
        <v>2018.8145455121194</v>
      </c>
      <c r="AC64" s="47">
        <f t="shared" si="110"/>
        <v>2145.6574282858573</v>
      </c>
      <c r="AD64" s="47">
        <f t="shared" si="110"/>
        <v>2187.9391365716424</v>
      </c>
      <c r="AE64" s="47">
        <f t="shared" si="110"/>
        <v>2257.0319514107468</v>
      </c>
    </row>
    <row r="65" spans="2:31">
      <c r="B65" s="125" t="s">
        <v>213</v>
      </c>
      <c r="C65" s="24" t="s">
        <v>214</v>
      </c>
      <c r="D65" s="35"/>
      <c r="E65" s="35"/>
      <c r="F65" s="27" t="s">
        <v>215</v>
      </c>
      <c r="G65" s="27" t="s">
        <v>123</v>
      </c>
      <c r="H65" s="32">
        <f>IF(H63=$C61,H$21,H$14)</f>
        <v>91.482432970149247</v>
      </c>
      <c r="I65" s="32">
        <f t="shared" ref="I65:AE65" si="111">IF(I63=$C61,I$21,I$14)</f>
        <v>88.181520440298513</v>
      </c>
      <c r="J65" s="32">
        <f t="shared" si="111"/>
        <v>86.295284708955222</v>
      </c>
      <c r="K65" s="32">
        <f t="shared" si="111"/>
        <v>82.994372179104474</v>
      </c>
      <c r="L65" s="32">
        <f t="shared" si="111"/>
        <v>78.278782850746268</v>
      </c>
      <c r="M65" s="32">
        <f t="shared" si="111"/>
        <v>73.091634589552243</v>
      </c>
      <c r="N65" s="32">
        <f t="shared" si="111"/>
        <v>67.904486328358203</v>
      </c>
      <c r="O65" s="32">
        <f t="shared" si="111"/>
        <v>62.717338067164178</v>
      </c>
      <c r="P65" s="32">
        <f t="shared" si="111"/>
        <v>58.001748738805965</v>
      </c>
      <c r="Q65" s="32">
        <f t="shared" si="111"/>
        <v>52.531665117910443</v>
      </c>
      <c r="R65" s="32">
        <f t="shared" si="111"/>
        <v>47.061581497014927</v>
      </c>
      <c r="S65" s="32">
        <f t="shared" si="111"/>
        <v>41.591497876119398</v>
      </c>
      <c r="T65" s="32">
        <f t="shared" si="111"/>
        <v>36.121414255223868</v>
      </c>
      <c r="U65" s="32">
        <f t="shared" si="111"/>
        <v>30.651330634328353</v>
      </c>
      <c r="V65" s="32">
        <f t="shared" si="111"/>
        <v>27.727665250746263</v>
      </c>
      <c r="W65" s="32">
        <f t="shared" si="111"/>
        <v>24.803999867164169</v>
      </c>
      <c r="X65" s="32">
        <f t="shared" si="111"/>
        <v>21.880334483582079</v>
      </c>
      <c r="Y65" s="32">
        <f t="shared" si="111"/>
        <v>18.956669099999985</v>
      </c>
      <c r="Z65" s="32">
        <f t="shared" si="111"/>
        <v>16.033003716417912</v>
      </c>
      <c r="AA65" s="32">
        <f t="shared" si="111"/>
        <v>13.203650119402987</v>
      </c>
      <c r="AB65" s="32">
        <f t="shared" si="111"/>
        <v>10.374296522388057</v>
      </c>
      <c r="AC65" s="32">
        <f t="shared" si="111"/>
        <v>7.5449429253731299</v>
      </c>
      <c r="AD65" s="32">
        <f t="shared" si="111"/>
        <v>94.311786567164205</v>
      </c>
      <c r="AE65" s="32">
        <f t="shared" si="111"/>
        <v>94.311786567164205</v>
      </c>
    </row>
    <row r="66" spans="2:31">
      <c r="C66" s="54" t="s">
        <v>216</v>
      </c>
      <c r="D66" s="68"/>
      <c r="E66" s="68"/>
      <c r="F66" s="46" t="s">
        <v>217</v>
      </c>
      <c r="G66" s="46" t="s">
        <v>218</v>
      </c>
      <c r="H66" s="47">
        <f t="shared" ref="H66:AE66" si="112">H65*LSFO_LCV</f>
        <v>3.7233350218850743</v>
      </c>
      <c r="I66" s="47">
        <f t="shared" si="112"/>
        <v>3.5889878819201493</v>
      </c>
      <c r="J66" s="47">
        <f t="shared" si="112"/>
        <v>3.5122180876544777</v>
      </c>
      <c r="K66" s="47">
        <f t="shared" si="112"/>
        <v>3.3778709476895519</v>
      </c>
      <c r="L66" s="47">
        <f t="shared" si="112"/>
        <v>3.185946462025373</v>
      </c>
      <c r="M66" s="47">
        <f t="shared" si="112"/>
        <v>2.9748295277947765</v>
      </c>
      <c r="N66" s="47">
        <f t="shared" si="112"/>
        <v>2.7637125935641791</v>
      </c>
      <c r="O66" s="47">
        <f t="shared" si="112"/>
        <v>2.5525956593335821</v>
      </c>
      <c r="P66" s="47">
        <f t="shared" si="112"/>
        <v>2.3606711736694028</v>
      </c>
      <c r="Q66" s="47">
        <f t="shared" si="112"/>
        <v>2.1380387702989552</v>
      </c>
      <c r="R66" s="47">
        <f t="shared" si="112"/>
        <v>1.9154063669285075</v>
      </c>
      <c r="S66" s="47">
        <f t="shared" si="112"/>
        <v>1.6927739635580594</v>
      </c>
      <c r="T66" s="47">
        <f t="shared" si="112"/>
        <v>1.4701415601876116</v>
      </c>
      <c r="U66" s="47">
        <f t="shared" si="112"/>
        <v>1.2475091568171639</v>
      </c>
      <c r="V66" s="47">
        <f t="shared" si="112"/>
        <v>1.1285159757053729</v>
      </c>
      <c r="W66" s="47">
        <f t="shared" si="112"/>
        <v>1.0095227945935816</v>
      </c>
      <c r="X66" s="47">
        <f t="shared" si="112"/>
        <v>0.89052961348179061</v>
      </c>
      <c r="Y66" s="47">
        <f t="shared" si="112"/>
        <v>0.77153643236999936</v>
      </c>
      <c r="Z66" s="47">
        <f t="shared" si="112"/>
        <v>0.652543251258209</v>
      </c>
      <c r="AA66" s="47">
        <f t="shared" si="112"/>
        <v>0.53738855985970158</v>
      </c>
      <c r="AB66" s="47">
        <f t="shared" si="112"/>
        <v>0.42223386846119393</v>
      </c>
      <c r="AC66" s="47">
        <f t="shared" si="112"/>
        <v>0.30707917706268639</v>
      </c>
      <c r="AD66" s="47">
        <f t="shared" si="112"/>
        <v>3.8384897132835833</v>
      </c>
      <c r="AE66" s="47">
        <f t="shared" si="112"/>
        <v>3.8384897132835833</v>
      </c>
    </row>
    <row r="67" spans="2:31">
      <c r="C67" s="24" t="s">
        <v>219</v>
      </c>
      <c r="D67" s="35"/>
      <c r="E67" s="35" t="s">
        <v>220</v>
      </c>
      <c r="F67" s="27" t="s">
        <v>221</v>
      </c>
      <c r="G67" s="27" t="s">
        <v>222</v>
      </c>
      <c r="H67" s="32">
        <f>H66*H$15</f>
        <v>69.812531660345144</v>
      </c>
      <c r="I67" s="32">
        <f t="shared" ref="I67:AE67" si="113">I66*I$15</f>
        <v>67.293522786002796</v>
      </c>
      <c r="J67" s="32">
        <f t="shared" si="113"/>
        <v>65.854089143521463</v>
      </c>
      <c r="K67" s="32">
        <f t="shared" si="113"/>
        <v>63.335080269179095</v>
      </c>
      <c r="L67" s="32">
        <f t="shared" si="113"/>
        <v>59.736496162975747</v>
      </c>
      <c r="M67" s="32">
        <f t="shared" si="113"/>
        <v>55.77805364615206</v>
      </c>
      <c r="N67" s="32">
        <f t="shared" si="113"/>
        <v>51.819611129328358</v>
      </c>
      <c r="O67" s="32">
        <f t="shared" si="113"/>
        <v>47.861168612504663</v>
      </c>
      <c r="P67" s="32">
        <f t="shared" si="113"/>
        <v>44.262584506301302</v>
      </c>
      <c r="Q67" s="32">
        <f t="shared" si="113"/>
        <v>40.088226943105411</v>
      </c>
      <c r="R67" s="32">
        <f t="shared" si="113"/>
        <v>35.913869379909514</v>
      </c>
      <c r="S67" s="32">
        <f t="shared" si="113"/>
        <v>31.739511816713613</v>
      </c>
      <c r="T67" s="32">
        <f t="shared" si="113"/>
        <v>27.565154253517715</v>
      </c>
      <c r="U67" s="32">
        <f t="shared" si="113"/>
        <v>23.390796690321825</v>
      </c>
      <c r="V67" s="32">
        <f t="shared" si="113"/>
        <v>21.159674544475742</v>
      </c>
      <c r="W67" s="32">
        <f t="shared" si="113"/>
        <v>18.928552398629655</v>
      </c>
      <c r="X67" s="32">
        <f t="shared" si="113"/>
        <v>16.697430252783573</v>
      </c>
      <c r="Y67" s="32">
        <f t="shared" si="113"/>
        <v>14.466308106937488</v>
      </c>
      <c r="Z67" s="32">
        <f t="shared" si="113"/>
        <v>12.235185961091419</v>
      </c>
      <c r="AA67" s="32">
        <f t="shared" si="113"/>
        <v>10.076035497369405</v>
      </c>
      <c r="AB67" s="32">
        <f t="shared" si="113"/>
        <v>7.9168850336473859</v>
      </c>
      <c r="AC67" s="32">
        <f t="shared" si="113"/>
        <v>5.7577345699253701</v>
      </c>
      <c r="AD67" s="32">
        <f t="shared" si="113"/>
        <v>71.971682124067186</v>
      </c>
      <c r="AE67" s="32">
        <f t="shared" si="113"/>
        <v>71.971682124067186</v>
      </c>
    </row>
    <row r="68" spans="2:31">
      <c r="B68" s="114" t="s">
        <v>223</v>
      </c>
      <c r="C68" s="126" t="s">
        <v>96</v>
      </c>
      <c r="D68" s="127"/>
      <c r="E68" s="127" t="s">
        <v>224</v>
      </c>
      <c r="F68" s="128"/>
      <c r="G68" s="128" t="s">
        <v>162</v>
      </c>
      <c r="H68" s="129">
        <f t="shared" ref="H68" si="114">H24*LSFO_LCV*1000</f>
        <v>595.59313106796242</v>
      </c>
      <c r="I68" s="129">
        <f t="shared" ref="I68:AE68" si="115">I24*LSFO_LCV*1000</f>
        <v>579.61936893203745</v>
      </c>
      <c r="J68" s="129">
        <f t="shared" si="115"/>
        <v>563.64560679611247</v>
      </c>
      <c r="K68" s="129">
        <f t="shared" si="115"/>
        <v>547.6718446601941</v>
      </c>
      <c r="L68" s="129">
        <f t="shared" si="115"/>
        <v>547.6718446601941</v>
      </c>
      <c r="M68" s="129">
        <f t="shared" si="115"/>
        <v>547.6718446601941</v>
      </c>
      <c r="N68" s="129">
        <f t="shared" si="115"/>
        <v>547.6718446601941</v>
      </c>
      <c r="O68" s="129">
        <f t="shared" si="115"/>
        <v>547.6718446601941</v>
      </c>
      <c r="P68" s="129">
        <f t="shared" si="115"/>
        <v>547.6718446601941</v>
      </c>
      <c r="Q68" s="129">
        <f t="shared" si="115"/>
        <v>547.6718446601941</v>
      </c>
      <c r="R68" s="129">
        <f t="shared" si="115"/>
        <v>547.6718446601941</v>
      </c>
      <c r="S68" s="129">
        <f t="shared" si="115"/>
        <v>547.6718446601941</v>
      </c>
      <c r="T68" s="129">
        <f t="shared" si="115"/>
        <v>547.6718446601941</v>
      </c>
      <c r="U68" s="129">
        <f t="shared" si="115"/>
        <v>547.6718446601941</v>
      </c>
      <c r="V68" s="129">
        <f t="shared" si="115"/>
        <v>547.6718446601941</v>
      </c>
      <c r="W68" s="129">
        <f t="shared" si="115"/>
        <v>547.6718446601941</v>
      </c>
      <c r="X68" s="129">
        <f t="shared" si="115"/>
        <v>547.6718446601941</v>
      </c>
      <c r="Y68" s="129">
        <f t="shared" si="115"/>
        <v>547.6718446601941</v>
      </c>
      <c r="Z68" s="129">
        <f t="shared" si="115"/>
        <v>547.6718446601941</v>
      </c>
      <c r="AA68" s="129">
        <f t="shared" si="115"/>
        <v>547.6718446601941</v>
      </c>
      <c r="AB68" s="129">
        <f t="shared" si="115"/>
        <v>547.6718446601941</v>
      </c>
      <c r="AC68" s="129">
        <f t="shared" si="115"/>
        <v>547.6718446601941</v>
      </c>
      <c r="AD68" s="129">
        <f t="shared" si="115"/>
        <v>547.6718446601941</v>
      </c>
      <c r="AE68" s="129">
        <f t="shared" si="115"/>
        <v>547.6718446601941</v>
      </c>
    </row>
    <row r="69" spans="2:31">
      <c r="C69" s="30" t="s">
        <v>101</v>
      </c>
      <c r="D69" s="36"/>
      <c r="E69" s="36" t="s">
        <v>225</v>
      </c>
      <c r="F69" s="69"/>
      <c r="G69" s="69" t="s">
        <v>162</v>
      </c>
      <c r="H69" s="31">
        <f>H64</f>
        <v>26.495559236285899</v>
      </c>
      <c r="I69" s="31">
        <f t="shared" ref="I69:AE69" si="116">I64</f>
        <v>62.814960669243646</v>
      </c>
      <c r="J69" s="31">
        <f t="shared" si="116"/>
        <v>89.214530580853392</v>
      </c>
      <c r="K69" s="31">
        <f t="shared" si="116"/>
        <v>135.93376981629356</v>
      </c>
      <c r="L69" s="31">
        <f t="shared" si="116"/>
        <v>204.27244184152073</v>
      </c>
      <c r="M69" s="31">
        <f t="shared" si="116"/>
        <v>285.84535117494562</v>
      </c>
      <c r="N69" s="31">
        <f t="shared" si="116"/>
        <v>374.98859074088983</v>
      </c>
      <c r="O69" s="31">
        <f t="shared" si="116"/>
        <v>471.70216053935258</v>
      </c>
      <c r="P69" s="31">
        <f t="shared" si="116"/>
        <v>568.60162389635582</v>
      </c>
      <c r="Q69" s="31">
        <f t="shared" si="116"/>
        <v>684.74887379637983</v>
      </c>
      <c r="R69" s="31">
        <f t="shared" si="116"/>
        <v>808.87938103251452</v>
      </c>
      <c r="S69" s="31">
        <f t="shared" si="116"/>
        <v>940.99314560476034</v>
      </c>
      <c r="T69" s="31">
        <f t="shared" si="116"/>
        <v>1081.0901675131172</v>
      </c>
      <c r="U69" s="31">
        <f t="shared" si="116"/>
        <v>1229.1704467575844</v>
      </c>
      <c r="V69" s="31">
        <f t="shared" si="116"/>
        <v>1330.7384395119825</v>
      </c>
      <c r="W69" s="31">
        <f t="shared" si="116"/>
        <v>1436.2685661413223</v>
      </c>
      <c r="X69" s="31">
        <f t="shared" si="116"/>
        <v>1545.7608266456041</v>
      </c>
      <c r="Y69" s="31">
        <f t="shared" si="116"/>
        <v>1659.2152210248269</v>
      </c>
      <c r="Z69" s="31">
        <f t="shared" si="116"/>
        <v>1776.6317492789919</v>
      </c>
      <c r="AA69" s="31">
        <f t="shared" si="116"/>
        <v>1895.8059858431643</v>
      </c>
      <c r="AB69" s="31">
        <f t="shared" si="116"/>
        <v>2018.8145455121194</v>
      </c>
      <c r="AC69" s="31">
        <f t="shared" si="116"/>
        <v>2145.6574282858573</v>
      </c>
      <c r="AD69" s="31">
        <f t="shared" si="116"/>
        <v>2187.9391365716424</v>
      </c>
      <c r="AE69" s="31">
        <f t="shared" si="116"/>
        <v>2257.0319514107468</v>
      </c>
    </row>
    <row r="70" spans="2:31" ht="15.75" thickBot="1">
      <c r="C70" s="138" t="s">
        <v>107</v>
      </c>
      <c r="D70" s="139"/>
      <c r="E70" s="139"/>
      <c r="F70" s="140"/>
      <c r="G70" s="140" t="s">
        <v>162</v>
      </c>
      <c r="H70" s="130">
        <f>H67</f>
        <v>69.812531660345144</v>
      </c>
      <c r="I70" s="130">
        <f t="shared" ref="I70:AE70" si="117">I67</f>
        <v>67.293522786002796</v>
      </c>
      <c r="J70" s="130">
        <f t="shared" si="117"/>
        <v>65.854089143521463</v>
      </c>
      <c r="K70" s="130">
        <f t="shared" si="117"/>
        <v>63.335080269179095</v>
      </c>
      <c r="L70" s="130">
        <f t="shared" si="117"/>
        <v>59.736496162975747</v>
      </c>
      <c r="M70" s="130">
        <f t="shared" si="117"/>
        <v>55.77805364615206</v>
      </c>
      <c r="N70" s="130">
        <f t="shared" si="117"/>
        <v>51.819611129328358</v>
      </c>
      <c r="O70" s="130">
        <f t="shared" si="117"/>
        <v>47.861168612504663</v>
      </c>
      <c r="P70" s="130">
        <f t="shared" si="117"/>
        <v>44.262584506301302</v>
      </c>
      <c r="Q70" s="130">
        <f t="shared" si="117"/>
        <v>40.088226943105411</v>
      </c>
      <c r="R70" s="130">
        <f t="shared" si="117"/>
        <v>35.913869379909514</v>
      </c>
      <c r="S70" s="130">
        <f t="shared" si="117"/>
        <v>31.739511816713613</v>
      </c>
      <c r="T70" s="130">
        <f t="shared" si="117"/>
        <v>27.565154253517715</v>
      </c>
      <c r="U70" s="130">
        <f t="shared" si="117"/>
        <v>23.390796690321825</v>
      </c>
      <c r="V70" s="130">
        <f t="shared" si="117"/>
        <v>21.159674544475742</v>
      </c>
      <c r="W70" s="130">
        <f t="shared" si="117"/>
        <v>18.928552398629655</v>
      </c>
      <c r="X70" s="130">
        <f t="shared" si="117"/>
        <v>16.697430252783573</v>
      </c>
      <c r="Y70" s="130">
        <f t="shared" si="117"/>
        <v>14.466308106937488</v>
      </c>
      <c r="Z70" s="130">
        <f t="shared" si="117"/>
        <v>12.235185961091419</v>
      </c>
      <c r="AA70" s="130">
        <f t="shared" si="117"/>
        <v>10.076035497369405</v>
      </c>
      <c r="AB70" s="130">
        <f t="shared" si="117"/>
        <v>7.9168850336473859</v>
      </c>
      <c r="AC70" s="130">
        <f t="shared" si="117"/>
        <v>5.7577345699253701</v>
      </c>
      <c r="AD70" s="130">
        <f t="shared" si="117"/>
        <v>71.971682124067186</v>
      </c>
      <c r="AE70" s="130">
        <f t="shared" si="117"/>
        <v>71.971682124067186</v>
      </c>
    </row>
    <row r="71" spans="2:31" ht="15.75" thickTop="1">
      <c r="C71" s="30" t="s">
        <v>111</v>
      </c>
      <c r="D71" s="36"/>
      <c r="E71" s="36"/>
      <c r="F71" s="69" t="s">
        <v>226</v>
      </c>
      <c r="G71" s="69" t="s">
        <v>162</v>
      </c>
      <c r="H71" s="31">
        <f>SUM(H68:H70)</f>
        <v>691.90122196459345</v>
      </c>
      <c r="I71" s="31">
        <f t="shared" ref="I71:AE71" si="118">SUM(I68:I70)</f>
        <v>709.72785238728386</v>
      </c>
      <c r="J71" s="31">
        <f t="shared" si="118"/>
        <v>718.71422652048739</v>
      </c>
      <c r="K71" s="31">
        <f t="shared" si="118"/>
        <v>746.94069474566675</v>
      </c>
      <c r="L71" s="31">
        <f t="shared" si="118"/>
        <v>811.68078266469058</v>
      </c>
      <c r="M71" s="31">
        <f t="shared" si="118"/>
        <v>889.29524948129188</v>
      </c>
      <c r="N71" s="31">
        <f t="shared" si="118"/>
        <v>974.48004653041232</v>
      </c>
      <c r="O71" s="31">
        <f t="shared" si="118"/>
        <v>1067.2351738120512</v>
      </c>
      <c r="P71" s="31">
        <f t="shared" si="118"/>
        <v>1160.5360530628511</v>
      </c>
      <c r="Q71" s="31">
        <f t="shared" si="118"/>
        <v>1272.5089453996793</v>
      </c>
      <c r="R71" s="31">
        <f t="shared" si="118"/>
        <v>1392.4650950726182</v>
      </c>
      <c r="S71" s="31">
        <f t="shared" si="118"/>
        <v>1520.4045020816679</v>
      </c>
      <c r="T71" s="31">
        <f t="shared" si="118"/>
        <v>1656.3271664268289</v>
      </c>
      <c r="U71" s="31">
        <f t="shared" si="118"/>
        <v>1800.2330881081004</v>
      </c>
      <c r="V71" s="31">
        <f t="shared" si="118"/>
        <v>1899.5699587166523</v>
      </c>
      <c r="W71" s="31">
        <f t="shared" si="118"/>
        <v>2002.868963200146</v>
      </c>
      <c r="X71" s="31">
        <f t="shared" si="118"/>
        <v>2110.1301015585818</v>
      </c>
      <c r="Y71" s="31">
        <f t="shared" si="118"/>
        <v>2221.3533737919583</v>
      </c>
      <c r="Z71" s="31">
        <f t="shared" si="118"/>
        <v>2336.5387799002774</v>
      </c>
      <c r="AA71" s="31">
        <f t="shared" si="118"/>
        <v>2453.5538660007278</v>
      </c>
      <c r="AB71" s="31">
        <f t="shared" si="118"/>
        <v>2574.4032752059607</v>
      </c>
      <c r="AC71" s="31">
        <f t="shared" si="118"/>
        <v>2699.0870075159769</v>
      </c>
      <c r="AD71" s="31">
        <f t="shared" si="118"/>
        <v>2807.5826633559036</v>
      </c>
      <c r="AE71" s="31">
        <f t="shared" si="118"/>
        <v>2876.6754781950081</v>
      </c>
    </row>
    <row r="74" spans="2:31">
      <c r="C74" s="30" t="s">
        <v>227</v>
      </c>
      <c r="D74" s="35"/>
      <c r="E74" s="35"/>
      <c r="F74" s="27"/>
      <c r="G74" s="27"/>
    </row>
    <row r="75" spans="2:31" ht="30">
      <c r="C75" s="61" t="s">
        <v>135</v>
      </c>
      <c r="D75" s="65" t="s">
        <v>136</v>
      </c>
      <c r="E75" s="65" t="s">
        <v>94</v>
      </c>
      <c r="F75" s="65" t="s">
        <v>118</v>
      </c>
      <c r="G75" s="51" t="s">
        <v>119</v>
      </c>
      <c r="H75" s="51">
        <v>2027</v>
      </c>
      <c r="I75" s="61">
        <v>2028</v>
      </c>
      <c r="J75" s="61">
        <v>2029</v>
      </c>
      <c r="K75" s="61">
        <v>2030</v>
      </c>
      <c r="L75" s="61">
        <v>2031</v>
      </c>
      <c r="M75" s="61">
        <v>2032</v>
      </c>
      <c r="N75" s="61">
        <v>2033</v>
      </c>
      <c r="O75" s="61">
        <v>2034</v>
      </c>
      <c r="P75" s="61">
        <v>2035</v>
      </c>
      <c r="Q75" s="51">
        <v>2036</v>
      </c>
      <c r="R75" s="51">
        <v>2037</v>
      </c>
      <c r="S75" s="61">
        <v>2038</v>
      </c>
      <c r="T75" s="61">
        <v>2039</v>
      </c>
      <c r="U75" s="61">
        <v>2040</v>
      </c>
      <c r="V75" s="61">
        <v>2041</v>
      </c>
      <c r="W75" s="61">
        <v>2042</v>
      </c>
      <c r="X75" s="61">
        <v>2043</v>
      </c>
      <c r="Y75" s="61">
        <v>2044</v>
      </c>
      <c r="Z75" s="61">
        <v>2045</v>
      </c>
      <c r="AA75" s="51">
        <v>2046</v>
      </c>
      <c r="AB75" s="51">
        <v>2047</v>
      </c>
      <c r="AC75" s="61">
        <v>2048</v>
      </c>
      <c r="AD75" s="61">
        <v>2049</v>
      </c>
      <c r="AE75" s="61">
        <v>2050</v>
      </c>
    </row>
    <row r="76" spans="2:31">
      <c r="C76" s="24" t="s">
        <v>228</v>
      </c>
      <c r="D76" s="35"/>
      <c r="E76" s="35" t="s">
        <v>229</v>
      </c>
      <c r="F76" s="27" t="s">
        <v>195</v>
      </c>
      <c r="G76" s="27" t="s">
        <v>146</v>
      </c>
      <c r="H76" s="32">
        <f>H$39-H$30</f>
        <v>22.551555647397045</v>
      </c>
      <c r="I76" s="32">
        <f t="shared" ref="I76:AE76" si="119">I$39-I$30</f>
        <v>24.219613423269728</v>
      </c>
      <c r="J76" s="32">
        <f t="shared" si="119"/>
        <v>25.880459234841922</v>
      </c>
      <c r="K76" s="32">
        <f t="shared" si="119"/>
        <v>27.530764959114798</v>
      </c>
      <c r="L76" s="32">
        <f t="shared" si="119"/>
        <v>28.274231477428991</v>
      </c>
      <c r="M76" s="32">
        <f t="shared" si="119"/>
        <v>29.007403680275615</v>
      </c>
      <c r="N76" s="32">
        <f t="shared" si="119"/>
        <v>29.732233730912881</v>
      </c>
      <c r="O76" s="32">
        <f t="shared" si="119"/>
        <v>30.444789099220309</v>
      </c>
      <c r="P76" s="32">
        <f t="shared" si="119"/>
        <v>31.147050152060153</v>
      </c>
      <c r="Q76" s="32">
        <f t="shared" si="119"/>
        <v>32.052700642481767</v>
      </c>
      <c r="R76" s="32">
        <f t="shared" si="119"/>
        <v>32.948272845131157</v>
      </c>
      <c r="S76" s="32">
        <f t="shared" si="119"/>
        <v>33.829007726167099</v>
      </c>
      <c r="T76" s="32">
        <f t="shared" si="119"/>
        <v>34.697301844650696</v>
      </c>
      <c r="U76" s="32">
        <f t="shared" si="119"/>
        <v>35.553155200581955</v>
      </c>
      <c r="V76" s="32">
        <f t="shared" si="119"/>
        <v>36.611771449655208</v>
      </c>
      <c r="W76" s="32">
        <f t="shared" si="119"/>
        <v>37.653057549812772</v>
      </c>
      <c r="X76" s="32">
        <f t="shared" si="119"/>
        <v>38.679860211886421</v>
      </c>
      <c r="Y76" s="32">
        <f t="shared" si="119"/>
        <v>39.692179435876163</v>
      </c>
      <c r="Z76" s="32">
        <f t="shared" si="119"/>
        <v>40.692663420638233</v>
      </c>
      <c r="AA76" s="32">
        <f t="shared" si="119"/>
        <v>41.944523038100193</v>
      </c>
      <c r="AB76" s="32">
        <f t="shared" si="119"/>
        <v>43.179262222820526</v>
      </c>
      <c r="AC76" s="32">
        <f t="shared" si="119"/>
        <v>44.396880974799267</v>
      </c>
      <c r="AD76" s="32">
        <f t="shared" si="119"/>
        <v>45.600587796991711</v>
      </c>
      <c r="AE76" s="32">
        <f t="shared" si="119"/>
        <v>46.78391877819201</v>
      </c>
    </row>
    <row r="77" spans="2:31">
      <c r="C77" s="54" t="s">
        <v>230</v>
      </c>
      <c r="D77" s="68"/>
      <c r="E77" s="68"/>
      <c r="F77" s="46" t="s">
        <v>197</v>
      </c>
      <c r="G77" s="46" t="s">
        <v>198</v>
      </c>
      <c r="H77" s="47">
        <f>H$27-H$37</f>
        <v>6.053732485947047E-2</v>
      </c>
      <c r="I77" s="47">
        <f t="shared" ref="I77:AE77" si="120">I$27-I$37</f>
        <v>6.053732485947047E-2</v>
      </c>
      <c r="J77" s="47">
        <f t="shared" si="120"/>
        <v>6.053732485947047E-2</v>
      </c>
      <c r="K77" s="47">
        <f t="shared" si="120"/>
        <v>6.053732485947047E-2</v>
      </c>
      <c r="L77" s="47">
        <f t="shared" si="120"/>
        <v>6.053732485947047E-2</v>
      </c>
      <c r="M77" s="47">
        <f t="shared" si="120"/>
        <v>6.053732485947047E-2</v>
      </c>
      <c r="N77" s="47">
        <f t="shared" si="120"/>
        <v>6.053732485947047E-2</v>
      </c>
      <c r="O77" s="47">
        <f t="shared" si="120"/>
        <v>6.053732485947047E-2</v>
      </c>
      <c r="P77" s="47">
        <f t="shared" si="120"/>
        <v>6.053732485947047E-2</v>
      </c>
      <c r="Q77" s="47">
        <f t="shared" si="120"/>
        <v>6.053732485947047E-2</v>
      </c>
      <c r="R77" s="47">
        <f t="shared" si="120"/>
        <v>6.053732485947047E-2</v>
      </c>
      <c r="S77" s="47">
        <f t="shared" si="120"/>
        <v>6.053732485947047E-2</v>
      </c>
      <c r="T77" s="47">
        <f t="shared" si="120"/>
        <v>6.053732485947047E-2</v>
      </c>
      <c r="U77" s="47">
        <f t="shared" si="120"/>
        <v>6.053732485947047E-2</v>
      </c>
      <c r="V77" s="47">
        <f t="shared" si="120"/>
        <v>6.053732485947047E-2</v>
      </c>
      <c r="W77" s="47">
        <f t="shared" si="120"/>
        <v>6.053732485947047E-2</v>
      </c>
      <c r="X77" s="47">
        <f t="shared" si="120"/>
        <v>6.053732485947047E-2</v>
      </c>
      <c r="Y77" s="47">
        <f t="shared" si="120"/>
        <v>6.053732485947047E-2</v>
      </c>
      <c r="Z77" s="47">
        <f t="shared" si="120"/>
        <v>6.053732485947047E-2</v>
      </c>
      <c r="AA77" s="47">
        <f t="shared" si="120"/>
        <v>6.053732485947047E-2</v>
      </c>
      <c r="AB77" s="47">
        <f t="shared" si="120"/>
        <v>6.053732485947047E-2</v>
      </c>
      <c r="AC77" s="47">
        <f t="shared" si="120"/>
        <v>6.053732485947047E-2</v>
      </c>
      <c r="AD77" s="47">
        <f t="shared" si="120"/>
        <v>6.053732485947047E-2</v>
      </c>
      <c r="AE77" s="47">
        <f t="shared" si="120"/>
        <v>6.053732485947047E-2</v>
      </c>
    </row>
    <row r="78" spans="2:31">
      <c r="C78" s="24" t="s">
        <v>231</v>
      </c>
      <c r="D78" s="35"/>
      <c r="E78" s="35" t="s">
        <v>201</v>
      </c>
      <c r="F78" s="27" t="s">
        <v>202</v>
      </c>
      <c r="G78" s="27" t="s">
        <v>184</v>
      </c>
      <c r="H78" s="32">
        <f>H76/H77</f>
        <v>372.52316153294765</v>
      </c>
      <c r="I78" s="32">
        <f t="shared" ref="I78:AE78" si="121">I76/I77</f>
        <v>400.07736515434755</v>
      </c>
      <c r="J78" s="32">
        <f t="shared" si="121"/>
        <v>427.51243625185032</v>
      </c>
      <c r="K78" s="32">
        <f t="shared" si="121"/>
        <v>454.77339844507316</v>
      </c>
      <c r="L78" s="32">
        <f t="shared" si="121"/>
        <v>467.05452451134806</v>
      </c>
      <c r="M78" s="32">
        <f t="shared" si="121"/>
        <v>479.16560151299274</v>
      </c>
      <c r="N78" s="32">
        <f t="shared" si="121"/>
        <v>491.1388767166768</v>
      </c>
      <c r="O78" s="32">
        <f t="shared" si="121"/>
        <v>502.90938970121209</v>
      </c>
      <c r="P78" s="32">
        <f t="shared" si="121"/>
        <v>514.50985362111692</v>
      </c>
      <c r="Q78" s="32">
        <f t="shared" si="121"/>
        <v>529.47005367164707</v>
      </c>
      <c r="R78" s="32">
        <f t="shared" si="121"/>
        <v>544.26377316170294</v>
      </c>
      <c r="S78" s="32">
        <f t="shared" si="121"/>
        <v>558.81239887452477</v>
      </c>
      <c r="T78" s="32">
        <f t="shared" si="121"/>
        <v>573.15551893308748</v>
      </c>
      <c r="U78" s="32">
        <f t="shared" si="121"/>
        <v>587.29313333739117</v>
      </c>
      <c r="V78" s="32">
        <f t="shared" si="121"/>
        <v>604.78013415103283</v>
      </c>
      <c r="W78" s="32">
        <f t="shared" si="121"/>
        <v>621.98086283494433</v>
      </c>
      <c r="X78" s="32">
        <f t="shared" si="121"/>
        <v>638.9423434497096</v>
      </c>
      <c r="Y78" s="32">
        <f t="shared" si="121"/>
        <v>655.66457599532851</v>
      </c>
      <c r="Z78" s="32">
        <f t="shared" si="121"/>
        <v>672.19130536575506</v>
      </c>
      <c r="AA78" s="32">
        <f t="shared" si="121"/>
        <v>692.87044208624923</v>
      </c>
      <c r="AB78" s="32">
        <f t="shared" si="121"/>
        <v>713.26677092282443</v>
      </c>
      <c r="AC78" s="32">
        <f t="shared" si="121"/>
        <v>733.38029187548102</v>
      </c>
      <c r="AD78" s="32">
        <f t="shared" si="121"/>
        <v>753.26400535285541</v>
      </c>
      <c r="AE78" s="32">
        <f t="shared" si="121"/>
        <v>772.81113572155357</v>
      </c>
    </row>
    <row r="79" spans="2:31">
      <c r="B79" s="125" t="s">
        <v>199</v>
      </c>
      <c r="C79" s="54" t="s">
        <v>232</v>
      </c>
      <c r="D79" s="68"/>
      <c r="E79" s="68" t="s">
        <v>204</v>
      </c>
      <c r="F79" s="46" t="s">
        <v>182</v>
      </c>
      <c r="G79" s="46" t="s">
        <v>184</v>
      </c>
      <c r="H79" s="47">
        <f>H78-$H$15</f>
        <v>353.77316153294765</v>
      </c>
      <c r="I79" s="47">
        <f t="shared" ref="I79:AE79" si="122">I78-$H$15</f>
        <v>381.32736515434755</v>
      </c>
      <c r="J79" s="47">
        <f t="shared" si="122"/>
        <v>408.76243625185032</v>
      </c>
      <c r="K79" s="47">
        <f t="shared" si="122"/>
        <v>436.02339844507316</v>
      </c>
      <c r="L79" s="47">
        <f t="shared" si="122"/>
        <v>448.30452451134806</v>
      </c>
      <c r="M79" s="47">
        <f t="shared" si="122"/>
        <v>460.41560151299274</v>
      </c>
      <c r="N79" s="47">
        <f t="shared" si="122"/>
        <v>472.3888767166768</v>
      </c>
      <c r="O79" s="47">
        <f t="shared" si="122"/>
        <v>484.15938970121209</v>
      </c>
      <c r="P79" s="47">
        <f t="shared" si="122"/>
        <v>495.75985362111692</v>
      </c>
      <c r="Q79" s="47">
        <f t="shared" si="122"/>
        <v>510.72005367164707</v>
      </c>
      <c r="R79" s="47">
        <f t="shared" si="122"/>
        <v>525.51377316170294</v>
      </c>
      <c r="S79" s="47">
        <f t="shared" si="122"/>
        <v>540.06239887452477</v>
      </c>
      <c r="T79" s="47">
        <f t="shared" si="122"/>
        <v>554.40551893308748</v>
      </c>
      <c r="U79" s="47">
        <f t="shared" si="122"/>
        <v>568.54313333739117</v>
      </c>
      <c r="V79" s="47">
        <f t="shared" si="122"/>
        <v>586.03013415103283</v>
      </c>
      <c r="W79" s="47">
        <f t="shared" si="122"/>
        <v>603.23086283494433</v>
      </c>
      <c r="X79" s="47">
        <f t="shared" si="122"/>
        <v>620.1923434497096</v>
      </c>
      <c r="Y79" s="47">
        <f t="shared" si="122"/>
        <v>636.91457599532851</v>
      </c>
      <c r="Z79" s="47">
        <f t="shared" si="122"/>
        <v>653.44130536575506</v>
      </c>
      <c r="AA79" s="47">
        <f t="shared" si="122"/>
        <v>674.12044208624923</v>
      </c>
      <c r="AB79" s="47">
        <f t="shared" si="122"/>
        <v>694.51677092282443</v>
      </c>
      <c r="AC79" s="47">
        <f t="shared" si="122"/>
        <v>714.63029187548102</v>
      </c>
      <c r="AD79" s="47">
        <f t="shared" si="122"/>
        <v>734.51400535285541</v>
      </c>
      <c r="AE79" s="47">
        <f t="shared" si="122"/>
        <v>754.06113572155357</v>
      </c>
    </row>
    <row r="80" spans="2:31">
      <c r="C80" s="24" t="s">
        <v>205</v>
      </c>
      <c r="D80" s="35"/>
      <c r="E80" s="35" t="s">
        <v>187</v>
      </c>
      <c r="F80" s="27"/>
      <c r="G80" s="27" t="s">
        <v>188</v>
      </c>
      <c r="H80" s="32">
        <f>H$17</f>
        <v>600</v>
      </c>
      <c r="I80" s="32">
        <f t="shared" ref="I80:AE80" si="123">I$17</f>
        <v>600</v>
      </c>
      <c r="J80" s="32">
        <f t="shared" si="123"/>
        <v>600</v>
      </c>
      <c r="K80" s="32">
        <f t="shared" si="123"/>
        <v>600</v>
      </c>
      <c r="L80" s="32">
        <f t="shared" si="123"/>
        <v>600</v>
      </c>
      <c r="M80" s="32">
        <f t="shared" si="123"/>
        <v>600</v>
      </c>
      <c r="N80" s="32">
        <f t="shared" si="123"/>
        <v>600</v>
      </c>
      <c r="O80" s="32">
        <f t="shared" si="123"/>
        <v>600</v>
      </c>
      <c r="P80" s="32">
        <f t="shared" si="123"/>
        <v>600</v>
      </c>
      <c r="Q80" s="32">
        <f t="shared" si="123"/>
        <v>600</v>
      </c>
      <c r="R80" s="32">
        <f t="shared" si="123"/>
        <v>600</v>
      </c>
      <c r="S80" s="32">
        <f t="shared" si="123"/>
        <v>600</v>
      </c>
      <c r="T80" s="32">
        <f t="shared" si="123"/>
        <v>600</v>
      </c>
      <c r="U80" s="32">
        <f t="shared" si="123"/>
        <v>600</v>
      </c>
      <c r="V80" s="32">
        <f t="shared" si="123"/>
        <v>600</v>
      </c>
      <c r="W80" s="32">
        <f t="shared" si="123"/>
        <v>600</v>
      </c>
      <c r="X80" s="32">
        <f t="shared" si="123"/>
        <v>600</v>
      </c>
      <c r="Y80" s="32">
        <f t="shared" si="123"/>
        <v>600</v>
      </c>
      <c r="Z80" s="32">
        <f t="shared" si="123"/>
        <v>600</v>
      </c>
      <c r="AA80" s="32">
        <f t="shared" si="123"/>
        <v>600</v>
      </c>
      <c r="AB80" s="32">
        <f t="shared" si="123"/>
        <v>600</v>
      </c>
      <c r="AC80" s="32">
        <f t="shared" si="123"/>
        <v>600</v>
      </c>
      <c r="AD80" s="32">
        <f t="shared" si="123"/>
        <v>600</v>
      </c>
      <c r="AE80" s="32">
        <f t="shared" si="123"/>
        <v>600</v>
      </c>
    </row>
    <row r="81" spans="2:31">
      <c r="C81" s="54" t="s">
        <v>206</v>
      </c>
      <c r="D81" s="68"/>
      <c r="E81" s="68" t="s">
        <v>207</v>
      </c>
      <c r="F81" s="46" t="s">
        <v>208</v>
      </c>
      <c r="G81" s="46" t="s">
        <v>188</v>
      </c>
      <c r="H81" s="47">
        <f>MIN(H79:H80)</f>
        <v>353.77316153294765</v>
      </c>
      <c r="I81" s="47">
        <f t="shared" ref="I81:AE81" si="124">MIN(I79:I80)</f>
        <v>381.32736515434755</v>
      </c>
      <c r="J81" s="47">
        <f t="shared" si="124"/>
        <v>408.76243625185032</v>
      </c>
      <c r="K81" s="47">
        <f t="shared" si="124"/>
        <v>436.02339844507316</v>
      </c>
      <c r="L81" s="47">
        <f t="shared" si="124"/>
        <v>448.30452451134806</v>
      </c>
      <c r="M81" s="47">
        <f t="shared" si="124"/>
        <v>460.41560151299274</v>
      </c>
      <c r="N81" s="47">
        <f t="shared" si="124"/>
        <v>472.3888767166768</v>
      </c>
      <c r="O81" s="47">
        <f t="shared" si="124"/>
        <v>484.15938970121209</v>
      </c>
      <c r="P81" s="47">
        <f t="shared" si="124"/>
        <v>495.75985362111692</v>
      </c>
      <c r="Q81" s="47">
        <f t="shared" si="124"/>
        <v>510.72005367164707</v>
      </c>
      <c r="R81" s="47">
        <f t="shared" si="124"/>
        <v>525.51377316170294</v>
      </c>
      <c r="S81" s="47">
        <f t="shared" si="124"/>
        <v>540.06239887452477</v>
      </c>
      <c r="T81" s="47">
        <f t="shared" si="124"/>
        <v>554.40551893308748</v>
      </c>
      <c r="U81" s="47">
        <f t="shared" si="124"/>
        <v>568.54313333739117</v>
      </c>
      <c r="V81" s="47">
        <f t="shared" si="124"/>
        <v>586.03013415103283</v>
      </c>
      <c r="W81" s="47">
        <f t="shared" si="124"/>
        <v>600</v>
      </c>
      <c r="X81" s="47">
        <f t="shared" si="124"/>
        <v>600</v>
      </c>
      <c r="Y81" s="47">
        <f t="shared" si="124"/>
        <v>600</v>
      </c>
      <c r="Z81" s="47">
        <f t="shared" si="124"/>
        <v>600</v>
      </c>
      <c r="AA81" s="47">
        <f t="shared" si="124"/>
        <v>600</v>
      </c>
      <c r="AB81" s="47">
        <f t="shared" si="124"/>
        <v>600</v>
      </c>
      <c r="AC81" s="47">
        <f t="shared" si="124"/>
        <v>600</v>
      </c>
      <c r="AD81" s="47">
        <f t="shared" si="124"/>
        <v>600</v>
      </c>
      <c r="AE81" s="47">
        <f t="shared" si="124"/>
        <v>600</v>
      </c>
    </row>
    <row r="82" spans="2:31">
      <c r="C82" s="24" t="s">
        <v>209</v>
      </c>
      <c r="D82" s="35"/>
      <c r="E82" s="35" t="s">
        <v>210</v>
      </c>
      <c r="F82" s="27" t="s">
        <v>208</v>
      </c>
      <c r="G82" s="27"/>
      <c r="H82" s="32" t="str">
        <f>_xlfn.XLOOKUP(H81,H79:H80,$C79:$C80)</f>
        <v>Bio-methane abatement cost minus levy savings</v>
      </c>
      <c r="I82" s="32" t="str">
        <f t="shared" ref="I82:AE82" si="125">_xlfn.XLOOKUP(I81,I79:I80,$C79:$C80)</f>
        <v>Bio-methane abatement cost minus levy savings</v>
      </c>
      <c r="J82" s="32" t="str">
        <f t="shared" si="125"/>
        <v>Bio-methane abatement cost minus levy savings</v>
      </c>
      <c r="K82" s="32" t="str">
        <f t="shared" si="125"/>
        <v>Bio-methane abatement cost minus levy savings</v>
      </c>
      <c r="L82" s="32" t="str">
        <f t="shared" si="125"/>
        <v>Bio-methane abatement cost minus levy savings</v>
      </c>
      <c r="M82" s="32" t="str">
        <f t="shared" si="125"/>
        <v>Bio-methane abatement cost minus levy savings</v>
      </c>
      <c r="N82" s="32" t="str">
        <f t="shared" si="125"/>
        <v>Bio-methane abatement cost minus levy savings</v>
      </c>
      <c r="O82" s="32" t="str">
        <f t="shared" si="125"/>
        <v>Bio-methane abatement cost minus levy savings</v>
      </c>
      <c r="P82" s="32" t="str">
        <f t="shared" si="125"/>
        <v>Bio-methane abatement cost minus levy savings</v>
      </c>
      <c r="Q82" s="32" t="str">
        <f t="shared" si="125"/>
        <v>Bio-methane abatement cost minus levy savings</v>
      </c>
      <c r="R82" s="32" t="str">
        <f t="shared" si="125"/>
        <v>Bio-methane abatement cost minus levy savings</v>
      </c>
      <c r="S82" s="32" t="str">
        <f t="shared" si="125"/>
        <v>Bio-methane abatement cost minus levy savings</v>
      </c>
      <c r="T82" s="32" t="str">
        <f t="shared" si="125"/>
        <v>Bio-methane abatement cost minus levy savings</v>
      </c>
      <c r="U82" s="32" t="str">
        <f t="shared" si="125"/>
        <v>Bio-methane abatement cost minus levy savings</v>
      </c>
      <c r="V82" s="32" t="str">
        <f t="shared" si="125"/>
        <v>Bio-methane abatement cost minus levy savings</v>
      </c>
      <c r="W82" s="32" t="str">
        <f t="shared" si="125"/>
        <v>Remedial Unit cost</v>
      </c>
      <c r="X82" s="32" t="str">
        <f t="shared" si="125"/>
        <v>Remedial Unit cost</v>
      </c>
      <c r="Y82" s="32" t="str">
        <f t="shared" si="125"/>
        <v>Remedial Unit cost</v>
      </c>
      <c r="Z82" s="32" t="str">
        <f t="shared" si="125"/>
        <v>Remedial Unit cost</v>
      </c>
      <c r="AA82" s="32" t="str">
        <f t="shared" si="125"/>
        <v>Remedial Unit cost</v>
      </c>
      <c r="AB82" s="32" t="str">
        <f t="shared" si="125"/>
        <v>Remedial Unit cost</v>
      </c>
      <c r="AC82" s="32" t="str">
        <f t="shared" si="125"/>
        <v>Remedial Unit cost</v>
      </c>
      <c r="AD82" s="32" t="str">
        <f t="shared" si="125"/>
        <v>Remedial Unit cost</v>
      </c>
      <c r="AE82" s="32" t="str">
        <f t="shared" si="125"/>
        <v>Remedial Unit cost</v>
      </c>
    </row>
    <row r="83" spans="2:31">
      <c r="C83" s="54" t="s">
        <v>211</v>
      </c>
      <c r="D83" s="68"/>
      <c r="E83" s="68" t="s">
        <v>212</v>
      </c>
      <c r="F83" s="46" t="s">
        <v>208</v>
      </c>
      <c r="G83" s="46" t="s">
        <v>162</v>
      </c>
      <c r="H83" s="47">
        <f>IF(H82=$C80,H$31,H$78*H28)</f>
        <v>0</v>
      </c>
      <c r="I83" s="47">
        <f t="shared" ref="I83:AE83" si="126">IF(I82=$C80,I$31,I$78*I28)</f>
        <v>0</v>
      </c>
      <c r="J83" s="47">
        <f t="shared" si="126"/>
        <v>0</v>
      </c>
      <c r="K83" s="47">
        <f t="shared" si="126"/>
        <v>0</v>
      </c>
      <c r="L83" s="47">
        <f t="shared" si="126"/>
        <v>0</v>
      </c>
      <c r="M83" s="47">
        <f t="shared" si="126"/>
        <v>59.237919756961141</v>
      </c>
      <c r="N83" s="47">
        <f t="shared" si="126"/>
        <v>164.40587663152442</v>
      </c>
      <c r="O83" s="47">
        <f t="shared" si="126"/>
        <v>274.51867580423982</v>
      </c>
      <c r="P83" s="47">
        <f t="shared" si="126"/>
        <v>379.59795689792099</v>
      </c>
      <c r="Q83" s="47">
        <f t="shared" si="126"/>
        <v>508.51256750890775</v>
      </c>
      <c r="R83" s="47">
        <f t="shared" si="126"/>
        <v>643.89147381076191</v>
      </c>
      <c r="S83" s="47">
        <f t="shared" si="126"/>
        <v>785.51297865479455</v>
      </c>
      <c r="T83" s="47">
        <f t="shared" si="126"/>
        <v>933.27784653356809</v>
      </c>
      <c r="U83" s="47">
        <f t="shared" si="126"/>
        <v>1087.0488207939406</v>
      </c>
      <c r="V83" s="47">
        <f t="shared" si="126"/>
        <v>1191.3810551702393</v>
      </c>
      <c r="W83" s="47">
        <f t="shared" si="126"/>
        <v>1253.3603825921198</v>
      </c>
      <c r="X83" s="47">
        <f t="shared" si="126"/>
        <v>1324.7562912591945</v>
      </c>
      <c r="Y83" s="47">
        <f t="shared" si="126"/>
        <v>1396.1521999262691</v>
      </c>
      <c r="Z83" s="47">
        <f t="shared" si="126"/>
        <v>1467.5481085933434</v>
      </c>
      <c r="AA83" s="47">
        <f t="shared" si="126"/>
        <v>1536.6409234324478</v>
      </c>
      <c r="AB83" s="47">
        <f t="shared" si="126"/>
        <v>1605.7337382715525</v>
      </c>
      <c r="AC83" s="47">
        <f t="shared" si="126"/>
        <v>1674.8265531106567</v>
      </c>
      <c r="AD83" s="47">
        <f t="shared" si="126"/>
        <v>1743.9193679497612</v>
      </c>
      <c r="AE83" s="47">
        <f t="shared" si="126"/>
        <v>1813.0121827888656</v>
      </c>
    </row>
    <row r="84" spans="2:31">
      <c r="B84" s="125" t="s">
        <v>108</v>
      </c>
      <c r="C84" s="24" t="s">
        <v>233</v>
      </c>
      <c r="D84" s="35"/>
      <c r="E84" s="35" t="s">
        <v>234</v>
      </c>
      <c r="F84" s="27" t="s">
        <v>235</v>
      </c>
      <c r="G84" s="27" t="s">
        <v>159</v>
      </c>
      <c r="H84" s="32">
        <f>H29</f>
        <v>-0.62487825630462646</v>
      </c>
      <c r="I84" s="32">
        <f t="shared" ref="I84:AE84" si="127">I29</f>
        <v>-0.49053111633970159</v>
      </c>
      <c r="J84" s="32">
        <f t="shared" si="127"/>
        <v>-0.4137613220740296</v>
      </c>
      <c r="K84" s="32">
        <f t="shared" si="127"/>
        <v>-0.27941418210910418</v>
      </c>
      <c r="L84" s="32">
        <f t="shared" si="127"/>
        <v>-8.7489696444925172E-2</v>
      </c>
      <c r="M84" s="32">
        <f t="shared" si="127"/>
        <v>0</v>
      </c>
      <c r="N84" s="32">
        <f t="shared" si="127"/>
        <v>0</v>
      </c>
      <c r="O84" s="32">
        <f t="shared" si="127"/>
        <v>0</v>
      </c>
      <c r="P84" s="32">
        <f t="shared" si="127"/>
        <v>0</v>
      </c>
      <c r="Q84" s="32">
        <f t="shared" si="127"/>
        <v>0</v>
      </c>
      <c r="R84" s="32">
        <f t="shared" si="127"/>
        <v>0</v>
      </c>
      <c r="S84" s="32">
        <f t="shared" si="127"/>
        <v>0</v>
      </c>
      <c r="T84" s="32">
        <f t="shared" si="127"/>
        <v>0</v>
      </c>
      <c r="U84" s="32">
        <f t="shared" si="127"/>
        <v>0</v>
      </c>
      <c r="V84" s="32">
        <f t="shared" si="127"/>
        <v>0</v>
      </c>
      <c r="W84" s="32">
        <f t="shared" si="127"/>
        <v>0</v>
      </c>
      <c r="X84" s="32">
        <f t="shared" si="127"/>
        <v>0</v>
      </c>
      <c r="Y84" s="32">
        <f t="shared" si="127"/>
        <v>0</v>
      </c>
      <c r="Z84" s="32">
        <f t="shared" si="127"/>
        <v>0</v>
      </c>
      <c r="AA84" s="32">
        <f t="shared" si="127"/>
        <v>0</v>
      </c>
      <c r="AB84" s="32">
        <f t="shared" si="127"/>
        <v>0</v>
      </c>
      <c r="AC84" s="32">
        <f t="shared" si="127"/>
        <v>0</v>
      </c>
      <c r="AD84" s="32">
        <f t="shared" si="127"/>
        <v>0</v>
      </c>
      <c r="AE84" s="32">
        <f t="shared" si="127"/>
        <v>0</v>
      </c>
    </row>
    <row r="85" spans="2:31">
      <c r="C85" s="54" t="s">
        <v>236</v>
      </c>
      <c r="D85" s="68"/>
      <c r="E85" s="68" t="s">
        <v>237</v>
      </c>
      <c r="F85" s="46" t="s">
        <v>238</v>
      </c>
      <c r="G85" s="46" t="s">
        <v>239</v>
      </c>
      <c r="H85" s="47">
        <f t="shared" ref="H85" si="128">H84*H52</f>
        <v>-132.05968852705595</v>
      </c>
      <c r="I85" s="47">
        <f t="shared" ref="I85:AE85" si="129">I84*I52</f>
        <v>-114.29940173810814</v>
      </c>
      <c r="J85" s="47">
        <f t="shared" si="129"/>
        <v>-105.37937123864721</v>
      </c>
      <c r="K85" s="47">
        <f t="shared" si="129"/>
        <v>-77.219246647215385</v>
      </c>
      <c r="L85" s="47">
        <f t="shared" si="129"/>
        <v>-25.747383320108767</v>
      </c>
      <c r="M85" s="47">
        <f t="shared" si="129"/>
        <v>0</v>
      </c>
      <c r="N85" s="47">
        <f t="shared" si="129"/>
        <v>0</v>
      </c>
      <c r="O85" s="47">
        <f t="shared" si="129"/>
        <v>0</v>
      </c>
      <c r="P85" s="47">
        <f t="shared" si="129"/>
        <v>0</v>
      </c>
      <c r="Q85" s="47">
        <f t="shared" si="129"/>
        <v>0</v>
      </c>
      <c r="R85" s="47">
        <f t="shared" si="129"/>
        <v>0</v>
      </c>
      <c r="S85" s="47">
        <f t="shared" si="129"/>
        <v>0</v>
      </c>
      <c r="T85" s="47">
        <f t="shared" si="129"/>
        <v>0</v>
      </c>
      <c r="U85" s="47">
        <f t="shared" si="129"/>
        <v>0</v>
      </c>
      <c r="V85" s="47">
        <f t="shared" si="129"/>
        <v>0</v>
      </c>
      <c r="W85" s="47">
        <f t="shared" si="129"/>
        <v>0</v>
      </c>
      <c r="X85" s="47">
        <f t="shared" si="129"/>
        <v>0</v>
      </c>
      <c r="Y85" s="47">
        <f t="shared" si="129"/>
        <v>0</v>
      </c>
      <c r="Z85" s="47">
        <f t="shared" si="129"/>
        <v>0</v>
      </c>
      <c r="AA85" s="47">
        <f t="shared" si="129"/>
        <v>0</v>
      </c>
      <c r="AB85" s="47">
        <f t="shared" si="129"/>
        <v>0</v>
      </c>
      <c r="AC85" s="47">
        <f t="shared" si="129"/>
        <v>0</v>
      </c>
      <c r="AD85" s="47">
        <f t="shared" si="129"/>
        <v>0</v>
      </c>
      <c r="AE85" s="47">
        <f t="shared" si="129"/>
        <v>0</v>
      </c>
    </row>
    <row r="86" spans="2:31">
      <c r="B86" s="125" t="s">
        <v>213</v>
      </c>
      <c r="C86" s="24" t="s">
        <v>214</v>
      </c>
      <c r="D86" s="35"/>
      <c r="E86" s="35"/>
      <c r="F86" s="27" t="s">
        <v>215</v>
      </c>
      <c r="G86" s="27" t="s">
        <v>123</v>
      </c>
      <c r="H86" s="32">
        <f>IF(H82=$C80,H26,MIN(H26,H$14))</f>
        <v>76.129158859470465</v>
      </c>
      <c r="I86" s="32">
        <f t="shared" ref="I86:AE86" si="130">IF(I82=$C80,I26,MIN(I26,I$14))</f>
        <v>76.129158859470465</v>
      </c>
      <c r="J86" s="32">
        <f t="shared" si="130"/>
        <v>76.129158859470465</v>
      </c>
      <c r="K86" s="32">
        <f t="shared" si="130"/>
        <v>76.129158859470465</v>
      </c>
      <c r="L86" s="32">
        <f t="shared" si="130"/>
        <v>76.129158859470465</v>
      </c>
      <c r="M86" s="32">
        <f t="shared" si="130"/>
        <v>73.091634589552243</v>
      </c>
      <c r="N86" s="32">
        <f t="shared" si="130"/>
        <v>67.904486328358203</v>
      </c>
      <c r="O86" s="32">
        <f t="shared" si="130"/>
        <v>62.717338067164178</v>
      </c>
      <c r="P86" s="32">
        <f t="shared" si="130"/>
        <v>58.001748738805965</v>
      </c>
      <c r="Q86" s="32">
        <f t="shared" si="130"/>
        <v>52.531665117910443</v>
      </c>
      <c r="R86" s="32">
        <f t="shared" si="130"/>
        <v>47.061581497014927</v>
      </c>
      <c r="S86" s="32">
        <f t="shared" si="130"/>
        <v>41.591497876119398</v>
      </c>
      <c r="T86" s="32">
        <f t="shared" si="130"/>
        <v>36.121414255223868</v>
      </c>
      <c r="U86" s="32">
        <f t="shared" si="130"/>
        <v>30.651330634328353</v>
      </c>
      <c r="V86" s="32">
        <f t="shared" si="130"/>
        <v>27.727665250746263</v>
      </c>
      <c r="W86" s="32">
        <f t="shared" si="130"/>
        <v>76.129158859470465</v>
      </c>
      <c r="X86" s="32">
        <f t="shared" si="130"/>
        <v>76.129158859470465</v>
      </c>
      <c r="Y86" s="32">
        <f t="shared" si="130"/>
        <v>76.129158859470465</v>
      </c>
      <c r="Z86" s="32">
        <f t="shared" si="130"/>
        <v>76.129158859470465</v>
      </c>
      <c r="AA86" s="32">
        <f t="shared" si="130"/>
        <v>76.129158859470465</v>
      </c>
      <c r="AB86" s="32">
        <f t="shared" si="130"/>
        <v>76.129158859470465</v>
      </c>
      <c r="AC86" s="32">
        <f t="shared" si="130"/>
        <v>76.129158859470465</v>
      </c>
      <c r="AD86" s="32">
        <f t="shared" si="130"/>
        <v>76.129158859470465</v>
      </c>
      <c r="AE86" s="32">
        <f t="shared" si="130"/>
        <v>76.129158859470465</v>
      </c>
    </row>
    <row r="87" spans="2:31">
      <c r="C87" s="54" t="s">
        <v>216</v>
      </c>
      <c r="D87" s="68"/>
      <c r="E87" s="68"/>
      <c r="F87" s="46" t="s">
        <v>217</v>
      </c>
      <c r="G87" s="46" t="s">
        <v>218</v>
      </c>
      <c r="H87" s="47">
        <f t="shared" ref="H87:AE87" si="131">H86*LSFO_LCV</f>
        <v>3.098456765580448</v>
      </c>
      <c r="I87" s="47">
        <f t="shared" si="131"/>
        <v>3.098456765580448</v>
      </c>
      <c r="J87" s="47">
        <f t="shared" si="131"/>
        <v>3.098456765580448</v>
      </c>
      <c r="K87" s="47">
        <f t="shared" si="131"/>
        <v>3.098456765580448</v>
      </c>
      <c r="L87" s="47">
        <f t="shared" si="131"/>
        <v>3.098456765580448</v>
      </c>
      <c r="M87" s="47">
        <f t="shared" si="131"/>
        <v>2.9748295277947765</v>
      </c>
      <c r="N87" s="47">
        <f t="shared" si="131"/>
        <v>2.7637125935641791</v>
      </c>
      <c r="O87" s="47">
        <f t="shared" si="131"/>
        <v>2.5525956593335821</v>
      </c>
      <c r="P87" s="47">
        <f t="shared" si="131"/>
        <v>2.3606711736694028</v>
      </c>
      <c r="Q87" s="47">
        <f t="shared" si="131"/>
        <v>2.1380387702989552</v>
      </c>
      <c r="R87" s="47">
        <f t="shared" si="131"/>
        <v>1.9154063669285075</v>
      </c>
      <c r="S87" s="47">
        <f t="shared" si="131"/>
        <v>1.6927739635580594</v>
      </c>
      <c r="T87" s="47">
        <f t="shared" si="131"/>
        <v>1.4701415601876116</v>
      </c>
      <c r="U87" s="47">
        <f t="shared" si="131"/>
        <v>1.2475091568171639</v>
      </c>
      <c r="V87" s="47">
        <f t="shared" si="131"/>
        <v>1.1285159757053729</v>
      </c>
      <c r="W87" s="47">
        <f t="shared" si="131"/>
        <v>3.098456765580448</v>
      </c>
      <c r="X87" s="47">
        <f t="shared" si="131"/>
        <v>3.098456765580448</v>
      </c>
      <c r="Y87" s="47">
        <f t="shared" si="131"/>
        <v>3.098456765580448</v>
      </c>
      <c r="Z87" s="47">
        <f t="shared" si="131"/>
        <v>3.098456765580448</v>
      </c>
      <c r="AA87" s="47">
        <f t="shared" si="131"/>
        <v>3.098456765580448</v>
      </c>
      <c r="AB87" s="47">
        <f t="shared" si="131"/>
        <v>3.098456765580448</v>
      </c>
      <c r="AC87" s="47">
        <f t="shared" si="131"/>
        <v>3.098456765580448</v>
      </c>
      <c r="AD87" s="47">
        <f t="shared" si="131"/>
        <v>3.098456765580448</v>
      </c>
      <c r="AE87" s="47">
        <f t="shared" si="131"/>
        <v>3.098456765580448</v>
      </c>
    </row>
    <row r="88" spans="2:31">
      <c r="C88" s="24" t="s">
        <v>219</v>
      </c>
      <c r="D88" s="35"/>
      <c r="E88" s="35" t="s">
        <v>220</v>
      </c>
      <c r="F88" s="27" t="s">
        <v>221</v>
      </c>
      <c r="G88" s="27" t="s">
        <v>162</v>
      </c>
      <c r="H88" s="32">
        <f>H87*H$15</f>
        <v>58.096064354633398</v>
      </c>
      <c r="I88" s="32">
        <f t="shared" ref="I88:AE88" si="132">I87*I$15</f>
        <v>58.096064354633398</v>
      </c>
      <c r="J88" s="32">
        <f t="shared" si="132"/>
        <v>58.096064354633398</v>
      </c>
      <c r="K88" s="32">
        <f t="shared" si="132"/>
        <v>58.096064354633398</v>
      </c>
      <c r="L88" s="32">
        <f t="shared" si="132"/>
        <v>58.096064354633398</v>
      </c>
      <c r="M88" s="32">
        <f t="shared" si="132"/>
        <v>55.77805364615206</v>
      </c>
      <c r="N88" s="32">
        <f t="shared" si="132"/>
        <v>51.819611129328358</v>
      </c>
      <c r="O88" s="32">
        <f t="shared" si="132"/>
        <v>47.861168612504663</v>
      </c>
      <c r="P88" s="32">
        <f t="shared" si="132"/>
        <v>44.262584506301302</v>
      </c>
      <c r="Q88" s="32">
        <f t="shared" si="132"/>
        <v>40.088226943105411</v>
      </c>
      <c r="R88" s="32">
        <f t="shared" si="132"/>
        <v>35.913869379909514</v>
      </c>
      <c r="S88" s="32">
        <f t="shared" si="132"/>
        <v>31.739511816713613</v>
      </c>
      <c r="T88" s="32">
        <f t="shared" si="132"/>
        <v>27.565154253517715</v>
      </c>
      <c r="U88" s="32">
        <f t="shared" si="132"/>
        <v>23.390796690321825</v>
      </c>
      <c r="V88" s="32">
        <f t="shared" si="132"/>
        <v>21.159674544475742</v>
      </c>
      <c r="W88" s="32">
        <f t="shared" si="132"/>
        <v>58.096064354633398</v>
      </c>
      <c r="X88" s="32">
        <f t="shared" si="132"/>
        <v>58.096064354633398</v>
      </c>
      <c r="Y88" s="32">
        <f t="shared" si="132"/>
        <v>58.096064354633398</v>
      </c>
      <c r="Z88" s="32">
        <f t="shared" si="132"/>
        <v>58.096064354633398</v>
      </c>
      <c r="AA88" s="32">
        <f t="shared" si="132"/>
        <v>58.096064354633398</v>
      </c>
      <c r="AB88" s="32">
        <f t="shared" si="132"/>
        <v>58.096064354633398</v>
      </c>
      <c r="AC88" s="32">
        <f t="shared" si="132"/>
        <v>58.096064354633398</v>
      </c>
      <c r="AD88" s="32">
        <f t="shared" si="132"/>
        <v>58.096064354633398</v>
      </c>
      <c r="AE88" s="32">
        <f t="shared" si="132"/>
        <v>58.096064354633398</v>
      </c>
    </row>
    <row r="89" spans="2:31">
      <c r="B89" s="114" t="s">
        <v>223</v>
      </c>
      <c r="C89" s="126" t="s">
        <v>97</v>
      </c>
      <c r="D89" s="127"/>
      <c r="E89" s="127" t="s">
        <v>240</v>
      </c>
      <c r="F89" s="128"/>
      <c r="G89" s="128" t="s">
        <v>162</v>
      </c>
      <c r="H89" s="129">
        <f t="shared" ref="H89" si="133">H30*LSFO_LCV*1000</f>
        <v>592.80715170121573</v>
      </c>
      <c r="I89" s="129">
        <f t="shared" ref="I89:AE89" si="134">I30*LSFO_LCV*1000</f>
        <v>549.99892007770882</v>
      </c>
      <c r="J89" s="129">
        <f t="shared" si="134"/>
        <v>507.19068845420168</v>
      </c>
      <c r="K89" s="129">
        <f t="shared" si="134"/>
        <v>464.38245683069465</v>
      </c>
      <c r="L89" s="129">
        <f t="shared" si="134"/>
        <v>464.17175136011952</v>
      </c>
      <c r="M89" s="129">
        <f t="shared" si="134"/>
        <v>463.96104588954421</v>
      </c>
      <c r="N89" s="129">
        <f t="shared" si="134"/>
        <v>463.75034041896919</v>
      </c>
      <c r="O89" s="129">
        <f t="shared" si="134"/>
        <v>463.53963494839383</v>
      </c>
      <c r="P89" s="129">
        <f t="shared" si="134"/>
        <v>463.32892947781846</v>
      </c>
      <c r="Q89" s="129">
        <f t="shared" si="134"/>
        <v>462.32490078285127</v>
      </c>
      <c r="R89" s="129">
        <f t="shared" si="134"/>
        <v>461.32087208788374</v>
      </c>
      <c r="S89" s="129">
        <f t="shared" si="134"/>
        <v>460.31684339291627</v>
      </c>
      <c r="T89" s="129">
        <f t="shared" si="134"/>
        <v>459.31281469794874</v>
      </c>
      <c r="U89" s="129">
        <f t="shared" si="134"/>
        <v>458.30878600298161</v>
      </c>
      <c r="V89" s="129">
        <f t="shared" si="134"/>
        <v>457.33273309172324</v>
      </c>
      <c r="W89" s="129">
        <f t="shared" si="134"/>
        <v>456.35668018046533</v>
      </c>
      <c r="X89" s="129">
        <f t="shared" si="134"/>
        <v>455.38062726920714</v>
      </c>
      <c r="Y89" s="129">
        <f t="shared" si="134"/>
        <v>454.40457435794895</v>
      </c>
      <c r="Z89" s="129">
        <f t="shared" si="134"/>
        <v>453.42852144669075</v>
      </c>
      <c r="AA89" s="129">
        <f t="shared" si="134"/>
        <v>452.58151083620294</v>
      </c>
      <c r="AB89" s="129">
        <f t="shared" si="134"/>
        <v>451.73450022571524</v>
      </c>
      <c r="AC89" s="129">
        <f t="shared" si="134"/>
        <v>450.88748961522754</v>
      </c>
      <c r="AD89" s="129">
        <f t="shared" si="134"/>
        <v>450.04047900473989</v>
      </c>
      <c r="AE89" s="129">
        <f t="shared" si="134"/>
        <v>449.19346839425219</v>
      </c>
    </row>
    <row r="90" spans="2:31">
      <c r="C90" s="30" t="s">
        <v>102</v>
      </c>
      <c r="D90" s="36"/>
      <c r="E90" s="36" t="s">
        <v>241</v>
      </c>
      <c r="F90" s="69"/>
      <c r="G90" s="69" t="s">
        <v>162</v>
      </c>
      <c r="H90" s="31">
        <f>H83</f>
        <v>0</v>
      </c>
      <c r="I90" s="31">
        <f t="shared" ref="I90:AE90" si="135">I83</f>
        <v>0</v>
      </c>
      <c r="J90" s="31">
        <f t="shared" si="135"/>
        <v>0</v>
      </c>
      <c r="K90" s="31">
        <f t="shared" si="135"/>
        <v>0</v>
      </c>
      <c r="L90" s="31">
        <f t="shared" si="135"/>
        <v>0</v>
      </c>
      <c r="M90" s="31">
        <f t="shared" si="135"/>
        <v>59.237919756961141</v>
      </c>
      <c r="N90" s="31">
        <f t="shared" si="135"/>
        <v>164.40587663152442</v>
      </c>
      <c r="O90" s="31">
        <f t="shared" si="135"/>
        <v>274.51867580423982</v>
      </c>
      <c r="P90" s="31">
        <f t="shared" si="135"/>
        <v>379.59795689792099</v>
      </c>
      <c r="Q90" s="31">
        <f t="shared" si="135"/>
        <v>508.51256750890775</v>
      </c>
      <c r="R90" s="31">
        <f t="shared" si="135"/>
        <v>643.89147381076191</v>
      </c>
      <c r="S90" s="31">
        <f t="shared" si="135"/>
        <v>785.51297865479455</v>
      </c>
      <c r="T90" s="31">
        <f t="shared" si="135"/>
        <v>933.27784653356809</v>
      </c>
      <c r="U90" s="31">
        <f t="shared" si="135"/>
        <v>1087.0488207939406</v>
      </c>
      <c r="V90" s="31">
        <f t="shared" si="135"/>
        <v>1191.3810551702393</v>
      </c>
      <c r="W90" s="31">
        <f t="shared" si="135"/>
        <v>1253.3603825921198</v>
      </c>
      <c r="X90" s="31">
        <f t="shared" si="135"/>
        <v>1324.7562912591945</v>
      </c>
      <c r="Y90" s="31">
        <f t="shared" si="135"/>
        <v>1396.1521999262691</v>
      </c>
      <c r="Z90" s="31">
        <f t="shared" si="135"/>
        <v>1467.5481085933434</v>
      </c>
      <c r="AA90" s="31">
        <f t="shared" si="135"/>
        <v>1536.6409234324478</v>
      </c>
      <c r="AB90" s="31">
        <f t="shared" si="135"/>
        <v>1605.7337382715525</v>
      </c>
      <c r="AC90" s="31">
        <f t="shared" si="135"/>
        <v>1674.8265531106567</v>
      </c>
      <c r="AD90" s="31">
        <f t="shared" si="135"/>
        <v>1743.9193679497612</v>
      </c>
      <c r="AE90" s="31">
        <f t="shared" si="135"/>
        <v>1813.0121827888656</v>
      </c>
    </row>
    <row r="91" spans="2:31">
      <c r="C91" s="126" t="s">
        <v>108</v>
      </c>
      <c r="D91" s="127"/>
      <c r="E91" s="127"/>
      <c r="F91" s="128"/>
      <c r="G91" s="128" t="s">
        <v>162</v>
      </c>
      <c r="H91" s="129">
        <f t="shared" ref="H91" si="136">H85</f>
        <v>-132.05968852705595</v>
      </c>
      <c r="I91" s="129">
        <f t="shared" ref="I91:AE91" si="137">I85</f>
        <v>-114.29940173810814</v>
      </c>
      <c r="J91" s="129">
        <f t="shared" si="137"/>
        <v>-105.37937123864721</v>
      </c>
      <c r="K91" s="129">
        <f t="shared" si="137"/>
        <v>-77.219246647215385</v>
      </c>
      <c r="L91" s="129">
        <f t="shared" si="137"/>
        <v>-25.747383320108767</v>
      </c>
      <c r="M91" s="129">
        <f t="shared" si="137"/>
        <v>0</v>
      </c>
      <c r="N91" s="129">
        <f t="shared" si="137"/>
        <v>0</v>
      </c>
      <c r="O91" s="129">
        <f t="shared" si="137"/>
        <v>0</v>
      </c>
      <c r="P91" s="129">
        <f t="shared" si="137"/>
        <v>0</v>
      </c>
      <c r="Q91" s="129">
        <f t="shared" si="137"/>
        <v>0</v>
      </c>
      <c r="R91" s="129">
        <f t="shared" si="137"/>
        <v>0</v>
      </c>
      <c r="S91" s="129">
        <f t="shared" si="137"/>
        <v>0</v>
      </c>
      <c r="T91" s="129">
        <f t="shared" si="137"/>
        <v>0</v>
      </c>
      <c r="U91" s="129">
        <f t="shared" si="137"/>
        <v>0</v>
      </c>
      <c r="V91" s="129">
        <f t="shared" si="137"/>
        <v>0</v>
      </c>
      <c r="W91" s="129">
        <f t="shared" si="137"/>
        <v>0</v>
      </c>
      <c r="X91" s="129">
        <f t="shared" si="137"/>
        <v>0</v>
      </c>
      <c r="Y91" s="129">
        <f t="shared" si="137"/>
        <v>0</v>
      </c>
      <c r="Z91" s="129">
        <f t="shared" si="137"/>
        <v>0</v>
      </c>
      <c r="AA91" s="129">
        <f t="shared" si="137"/>
        <v>0</v>
      </c>
      <c r="AB91" s="129">
        <f t="shared" si="137"/>
        <v>0</v>
      </c>
      <c r="AC91" s="129">
        <f t="shared" si="137"/>
        <v>0</v>
      </c>
      <c r="AD91" s="129">
        <f t="shared" si="137"/>
        <v>0</v>
      </c>
      <c r="AE91" s="129">
        <f t="shared" si="137"/>
        <v>0</v>
      </c>
    </row>
    <row r="92" spans="2:31" ht="15.75" thickBot="1">
      <c r="C92" s="132" t="s">
        <v>107</v>
      </c>
      <c r="D92" s="133"/>
      <c r="E92" s="133"/>
      <c r="F92" s="134"/>
      <c r="G92" s="134" t="s">
        <v>162</v>
      </c>
      <c r="H92" s="135">
        <f>H88</f>
        <v>58.096064354633398</v>
      </c>
      <c r="I92" s="135">
        <f t="shared" ref="I92:AE92" si="138">I88</f>
        <v>58.096064354633398</v>
      </c>
      <c r="J92" s="135">
        <f t="shared" si="138"/>
        <v>58.096064354633398</v>
      </c>
      <c r="K92" s="135">
        <f t="shared" si="138"/>
        <v>58.096064354633398</v>
      </c>
      <c r="L92" s="135">
        <f t="shared" si="138"/>
        <v>58.096064354633398</v>
      </c>
      <c r="M92" s="135">
        <f t="shared" si="138"/>
        <v>55.77805364615206</v>
      </c>
      <c r="N92" s="135">
        <f t="shared" si="138"/>
        <v>51.819611129328358</v>
      </c>
      <c r="O92" s="135">
        <f t="shared" si="138"/>
        <v>47.861168612504663</v>
      </c>
      <c r="P92" s="135">
        <f t="shared" si="138"/>
        <v>44.262584506301302</v>
      </c>
      <c r="Q92" s="135">
        <f t="shared" si="138"/>
        <v>40.088226943105411</v>
      </c>
      <c r="R92" s="135">
        <f t="shared" si="138"/>
        <v>35.913869379909514</v>
      </c>
      <c r="S92" s="135">
        <f t="shared" si="138"/>
        <v>31.739511816713613</v>
      </c>
      <c r="T92" s="135">
        <f t="shared" si="138"/>
        <v>27.565154253517715</v>
      </c>
      <c r="U92" s="135">
        <f t="shared" si="138"/>
        <v>23.390796690321825</v>
      </c>
      <c r="V92" s="135">
        <f t="shared" si="138"/>
        <v>21.159674544475742</v>
      </c>
      <c r="W92" s="135">
        <f t="shared" si="138"/>
        <v>58.096064354633398</v>
      </c>
      <c r="X92" s="135">
        <f t="shared" si="138"/>
        <v>58.096064354633398</v>
      </c>
      <c r="Y92" s="135">
        <f t="shared" si="138"/>
        <v>58.096064354633398</v>
      </c>
      <c r="Z92" s="135">
        <f t="shared" si="138"/>
        <v>58.096064354633398</v>
      </c>
      <c r="AA92" s="135">
        <f t="shared" si="138"/>
        <v>58.096064354633398</v>
      </c>
      <c r="AB92" s="135">
        <f t="shared" si="138"/>
        <v>58.096064354633398</v>
      </c>
      <c r="AC92" s="135">
        <f t="shared" si="138"/>
        <v>58.096064354633398</v>
      </c>
      <c r="AD92" s="135">
        <f t="shared" si="138"/>
        <v>58.096064354633398</v>
      </c>
      <c r="AE92" s="135">
        <f t="shared" si="138"/>
        <v>58.096064354633398</v>
      </c>
    </row>
    <row r="93" spans="2:31" ht="15.75" thickTop="1">
      <c r="C93" s="131" t="s">
        <v>113</v>
      </c>
      <c r="D93" s="127"/>
      <c r="E93" s="68"/>
      <c r="F93" s="46" t="s">
        <v>226</v>
      </c>
      <c r="G93" s="128" t="s">
        <v>162</v>
      </c>
      <c r="H93" s="129">
        <f>SUM(H89:H92)</f>
        <v>518.84352752879317</v>
      </c>
      <c r="I93" s="129">
        <f t="shared" ref="I93:AE93" si="139">SUM(I89:I92)</f>
        <v>493.7955826942341</v>
      </c>
      <c r="J93" s="129">
        <f t="shared" si="139"/>
        <v>459.90738157018791</v>
      </c>
      <c r="K93" s="129">
        <f t="shared" si="139"/>
        <v>445.25927453811266</v>
      </c>
      <c r="L93" s="129">
        <f t="shared" si="139"/>
        <v>496.5204323946441</v>
      </c>
      <c r="M93" s="129">
        <f t="shared" si="139"/>
        <v>578.97701929265747</v>
      </c>
      <c r="N93" s="129">
        <f t="shared" si="139"/>
        <v>679.97582817982197</v>
      </c>
      <c r="O93" s="129">
        <f t="shared" si="139"/>
        <v>785.91947936513827</v>
      </c>
      <c r="P93" s="129">
        <f t="shared" si="139"/>
        <v>887.18947088204084</v>
      </c>
      <c r="Q93" s="129">
        <f t="shared" si="139"/>
        <v>1010.9256952348644</v>
      </c>
      <c r="R93" s="129">
        <f t="shared" si="139"/>
        <v>1141.1262152785553</v>
      </c>
      <c r="S93" s="129">
        <f t="shared" si="139"/>
        <v>1277.5693338644244</v>
      </c>
      <c r="T93" s="129">
        <f t="shared" si="139"/>
        <v>1420.1558154850345</v>
      </c>
      <c r="U93" s="129">
        <f t="shared" si="139"/>
        <v>1568.7484034872441</v>
      </c>
      <c r="V93" s="129">
        <f t="shared" si="139"/>
        <v>1669.8734628064383</v>
      </c>
      <c r="W93" s="129">
        <f t="shared" si="139"/>
        <v>1767.8131271272184</v>
      </c>
      <c r="X93" s="129">
        <f t="shared" si="139"/>
        <v>1838.232982883035</v>
      </c>
      <c r="Y93" s="129">
        <f t="shared" si="139"/>
        <v>1908.6528386388516</v>
      </c>
      <c r="Z93" s="129">
        <f t="shared" si="139"/>
        <v>1979.0726943946677</v>
      </c>
      <c r="AA93" s="129">
        <f t="shared" si="139"/>
        <v>2047.3184986232843</v>
      </c>
      <c r="AB93" s="129">
        <f t="shared" si="139"/>
        <v>2115.5643028519007</v>
      </c>
      <c r="AC93" s="129">
        <f t="shared" si="139"/>
        <v>2183.8101070805174</v>
      </c>
      <c r="AD93" s="129">
        <f t="shared" si="139"/>
        <v>2252.0559113091344</v>
      </c>
      <c r="AE93" s="129">
        <f t="shared" si="139"/>
        <v>2320.3017155377511</v>
      </c>
    </row>
    <row r="95" spans="2:31">
      <c r="B95" s="125"/>
      <c r="C95" s="24"/>
      <c r="D95" s="35"/>
      <c r="E95" s="35"/>
      <c r="F95" s="27"/>
      <c r="G95" s="27"/>
      <c r="H95" s="32"/>
      <c r="I95" s="32"/>
      <c r="J95" s="32"/>
      <c r="K95" s="32"/>
      <c r="L95" s="32"/>
      <c r="M95" s="32"/>
      <c r="N95" s="32"/>
      <c r="O95" s="32"/>
      <c r="P95" s="32"/>
      <c r="Q95" s="32"/>
      <c r="R95" s="32"/>
      <c r="S95" s="32"/>
      <c r="T95" s="32"/>
      <c r="U95" s="32"/>
      <c r="V95" s="32"/>
      <c r="W95" s="32"/>
      <c r="X95" s="32"/>
      <c r="Y95" s="32"/>
      <c r="Z95" s="32"/>
      <c r="AA95" s="32"/>
      <c r="AB95" s="32"/>
      <c r="AC95" s="32"/>
      <c r="AD95" s="32"/>
      <c r="AE95" s="32"/>
    </row>
    <row r="96" spans="2:31" ht="15.6" customHeight="1">
      <c r="C96" s="30" t="s">
        <v>91</v>
      </c>
      <c r="D96" s="35"/>
      <c r="E96" s="35"/>
      <c r="F96" s="27"/>
      <c r="G96" s="27"/>
    </row>
    <row r="97" spans="2:31" ht="15.6" customHeight="1">
      <c r="C97" s="61" t="s">
        <v>135</v>
      </c>
      <c r="D97" s="65" t="s">
        <v>136</v>
      </c>
      <c r="E97" s="65" t="s">
        <v>94</v>
      </c>
      <c r="F97" s="65" t="s">
        <v>118</v>
      </c>
      <c r="G97" s="51" t="s">
        <v>119</v>
      </c>
      <c r="H97" s="51">
        <v>2027</v>
      </c>
      <c r="I97" s="61">
        <v>2028</v>
      </c>
      <c r="J97" s="61">
        <v>2029</v>
      </c>
      <c r="K97" s="61">
        <v>2030</v>
      </c>
      <c r="L97" s="61">
        <v>2031</v>
      </c>
      <c r="M97" s="61">
        <v>2032</v>
      </c>
      <c r="N97" s="61">
        <v>2033</v>
      </c>
      <c r="O97" s="61">
        <v>2034</v>
      </c>
      <c r="P97" s="61">
        <v>2035</v>
      </c>
      <c r="Q97" s="51">
        <v>2036</v>
      </c>
      <c r="R97" s="51">
        <v>2037</v>
      </c>
      <c r="S97" s="61">
        <v>2038</v>
      </c>
      <c r="T97" s="61">
        <v>2039</v>
      </c>
      <c r="U97" s="61">
        <v>2040</v>
      </c>
      <c r="V97" s="61">
        <v>2041</v>
      </c>
      <c r="W97" s="61">
        <v>2042</v>
      </c>
      <c r="X97" s="61">
        <v>2043</v>
      </c>
      <c r="Y97" s="61">
        <v>2044</v>
      </c>
      <c r="Z97" s="61">
        <v>2045</v>
      </c>
      <c r="AA97" s="51">
        <v>2046</v>
      </c>
      <c r="AB97" s="51">
        <v>2047</v>
      </c>
      <c r="AC97" s="61">
        <v>2048</v>
      </c>
      <c r="AD97" s="61">
        <v>2049</v>
      </c>
      <c r="AE97" s="61">
        <v>2050</v>
      </c>
    </row>
    <row r="98" spans="2:31" ht="15.6" customHeight="1">
      <c r="C98" s="24" t="s">
        <v>242</v>
      </c>
      <c r="D98" s="35"/>
      <c r="E98" s="35" t="s">
        <v>243</v>
      </c>
      <c r="F98" s="27" t="s">
        <v>244</v>
      </c>
      <c r="G98" s="27" t="s">
        <v>146</v>
      </c>
      <c r="H98" s="32">
        <f>H$44-H$24</f>
        <v>27.135303904964061</v>
      </c>
      <c r="I98" s="32">
        <f t="shared" ref="I98:AE98" si="140">I$44-I$24</f>
        <v>27.527779633119465</v>
      </c>
      <c r="J98" s="32">
        <f t="shared" si="140"/>
        <v>27.920255361274876</v>
      </c>
      <c r="K98" s="32">
        <f t="shared" si="140"/>
        <v>28.312731089430116</v>
      </c>
      <c r="L98" s="32">
        <f t="shared" si="140"/>
        <v>28.312731089430116</v>
      </c>
      <c r="M98" s="32">
        <f t="shared" si="140"/>
        <v>28.312731089430116</v>
      </c>
      <c r="N98" s="32">
        <f t="shared" si="140"/>
        <v>28.312731089430116</v>
      </c>
      <c r="O98" s="32">
        <f t="shared" si="140"/>
        <v>28.312731089430116</v>
      </c>
      <c r="P98" s="32">
        <f t="shared" si="140"/>
        <v>28.312731089430116</v>
      </c>
      <c r="Q98" s="32">
        <f t="shared" si="140"/>
        <v>28.312731089430116</v>
      </c>
      <c r="R98" s="32">
        <f t="shared" si="140"/>
        <v>28.312731089430116</v>
      </c>
      <c r="S98" s="32">
        <f t="shared" si="140"/>
        <v>28.312731089430116</v>
      </c>
      <c r="T98" s="32">
        <f t="shared" si="140"/>
        <v>28.312731089430116</v>
      </c>
      <c r="U98" s="32">
        <f t="shared" si="140"/>
        <v>28.312731089430116</v>
      </c>
      <c r="V98" s="32">
        <f t="shared" si="140"/>
        <v>28.312731089430116</v>
      </c>
      <c r="W98" s="32">
        <f t="shared" si="140"/>
        <v>28.312731089430116</v>
      </c>
      <c r="X98" s="32">
        <f t="shared" si="140"/>
        <v>28.312731089430116</v>
      </c>
      <c r="Y98" s="32">
        <f t="shared" si="140"/>
        <v>28.312731089430116</v>
      </c>
      <c r="Z98" s="32">
        <f t="shared" si="140"/>
        <v>28.312731089430116</v>
      </c>
      <c r="AA98" s="32">
        <f t="shared" si="140"/>
        <v>28.312731089430116</v>
      </c>
      <c r="AB98" s="32">
        <f t="shared" si="140"/>
        <v>28.312731089430116</v>
      </c>
      <c r="AC98" s="32">
        <f t="shared" si="140"/>
        <v>28.312731089430116</v>
      </c>
      <c r="AD98" s="32">
        <f t="shared" si="140"/>
        <v>28.312731089430116</v>
      </c>
      <c r="AE98" s="32">
        <f t="shared" si="140"/>
        <v>28.312731089430116</v>
      </c>
    </row>
    <row r="99" spans="2:31" ht="15.6" customHeight="1">
      <c r="C99" s="54" t="s">
        <v>245</v>
      </c>
      <c r="D99" s="68"/>
      <c r="E99" s="68"/>
      <c r="F99" s="46" t="s">
        <v>246</v>
      </c>
      <c r="G99" s="46" t="s">
        <v>198</v>
      </c>
      <c r="H99" s="47">
        <f>H$22-H$41</f>
        <v>8.4880607910447783E-2</v>
      </c>
      <c r="I99" s="47">
        <f t="shared" ref="I99:AE99" si="141">I$22-I$41</f>
        <v>8.4880607910447783E-2</v>
      </c>
      <c r="J99" s="47">
        <f t="shared" si="141"/>
        <v>8.4880607910447783E-2</v>
      </c>
      <c r="K99" s="47">
        <f t="shared" si="141"/>
        <v>8.4880607910447783E-2</v>
      </c>
      <c r="L99" s="47">
        <f t="shared" si="141"/>
        <v>8.4880607910447783E-2</v>
      </c>
      <c r="M99" s="47">
        <f t="shared" si="141"/>
        <v>8.4880607910447783E-2</v>
      </c>
      <c r="N99" s="47">
        <f t="shared" si="141"/>
        <v>8.4880607910447783E-2</v>
      </c>
      <c r="O99" s="47">
        <f t="shared" si="141"/>
        <v>8.4880607910447783E-2</v>
      </c>
      <c r="P99" s="47">
        <f t="shared" si="141"/>
        <v>8.4880607910447783E-2</v>
      </c>
      <c r="Q99" s="47">
        <f t="shared" si="141"/>
        <v>8.4880607910447783E-2</v>
      </c>
      <c r="R99" s="47">
        <f t="shared" si="141"/>
        <v>8.4880607910447783E-2</v>
      </c>
      <c r="S99" s="47">
        <f t="shared" si="141"/>
        <v>8.4880607910447783E-2</v>
      </c>
      <c r="T99" s="47">
        <f t="shared" si="141"/>
        <v>8.4880607910447783E-2</v>
      </c>
      <c r="U99" s="47">
        <f t="shared" si="141"/>
        <v>8.4880607910447783E-2</v>
      </c>
      <c r="V99" s="47">
        <f t="shared" si="141"/>
        <v>8.4880607910447783E-2</v>
      </c>
      <c r="W99" s="47">
        <f t="shared" si="141"/>
        <v>8.4880607910447783E-2</v>
      </c>
      <c r="X99" s="47">
        <f t="shared" si="141"/>
        <v>8.4880607910447783E-2</v>
      </c>
      <c r="Y99" s="47">
        <f t="shared" si="141"/>
        <v>8.4880607910447783E-2</v>
      </c>
      <c r="Z99" s="47">
        <f t="shared" si="141"/>
        <v>8.4880607910447783E-2</v>
      </c>
      <c r="AA99" s="47">
        <f t="shared" si="141"/>
        <v>8.4880607910447783E-2</v>
      </c>
      <c r="AB99" s="47">
        <f t="shared" si="141"/>
        <v>8.4880607910447783E-2</v>
      </c>
      <c r="AC99" s="47">
        <f t="shared" si="141"/>
        <v>8.4880607910447783E-2</v>
      </c>
      <c r="AD99" s="47">
        <f t="shared" si="141"/>
        <v>8.4880607910447783E-2</v>
      </c>
      <c r="AE99" s="47">
        <f t="shared" si="141"/>
        <v>8.4880607910447783E-2</v>
      </c>
    </row>
    <row r="100" spans="2:31" ht="15.6" customHeight="1">
      <c r="C100" s="24" t="s">
        <v>231</v>
      </c>
      <c r="D100" s="35"/>
      <c r="E100" s="35" t="s">
        <v>201</v>
      </c>
      <c r="F100" s="27" t="s">
        <v>202</v>
      </c>
      <c r="G100" s="27" t="s">
        <v>184</v>
      </c>
      <c r="H100" s="32">
        <f>H98/H99</f>
        <v>319.68790720246517</v>
      </c>
      <c r="I100" s="32">
        <f t="shared" ref="I100:AE100" si="142">I98/I99</f>
        <v>324.3117634379139</v>
      </c>
      <c r="J100" s="32">
        <f t="shared" si="142"/>
        <v>328.93561967336274</v>
      </c>
      <c r="K100" s="32">
        <f t="shared" si="142"/>
        <v>333.55947590880953</v>
      </c>
      <c r="L100" s="32">
        <f t="shared" si="142"/>
        <v>333.55947590880953</v>
      </c>
      <c r="M100" s="32">
        <f t="shared" si="142"/>
        <v>333.55947590880953</v>
      </c>
      <c r="N100" s="32">
        <f t="shared" si="142"/>
        <v>333.55947590880953</v>
      </c>
      <c r="O100" s="32">
        <f t="shared" si="142"/>
        <v>333.55947590880953</v>
      </c>
      <c r="P100" s="32">
        <f t="shared" si="142"/>
        <v>333.55947590880953</v>
      </c>
      <c r="Q100" s="32">
        <f t="shared" si="142"/>
        <v>333.55947590880953</v>
      </c>
      <c r="R100" s="32">
        <f t="shared" si="142"/>
        <v>333.55947590880953</v>
      </c>
      <c r="S100" s="32">
        <f t="shared" si="142"/>
        <v>333.55947590880953</v>
      </c>
      <c r="T100" s="32">
        <f t="shared" si="142"/>
        <v>333.55947590880953</v>
      </c>
      <c r="U100" s="32">
        <f t="shared" si="142"/>
        <v>333.55947590880953</v>
      </c>
      <c r="V100" s="32">
        <f t="shared" si="142"/>
        <v>333.55947590880953</v>
      </c>
      <c r="W100" s="32">
        <f t="shared" si="142"/>
        <v>333.55947590880953</v>
      </c>
      <c r="X100" s="32">
        <f t="shared" si="142"/>
        <v>333.55947590880953</v>
      </c>
      <c r="Y100" s="32">
        <f t="shared" si="142"/>
        <v>333.55947590880953</v>
      </c>
      <c r="Z100" s="32">
        <f t="shared" si="142"/>
        <v>333.55947590880953</v>
      </c>
      <c r="AA100" s="32">
        <f t="shared" si="142"/>
        <v>333.55947590880953</v>
      </c>
      <c r="AB100" s="32">
        <f t="shared" si="142"/>
        <v>333.55947590880953</v>
      </c>
      <c r="AC100" s="32">
        <f t="shared" si="142"/>
        <v>333.55947590880953</v>
      </c>
      <c r="AD100" s="32">
        <f t="shared" si="142"/>
        <v>333.55947590880953</v>
      </c>
      <c r="AE100" s="32">
        <f t="shared" si="142"/>
        <v>333.55947590880953</v>
      </c>
    </row>
    <row r="101" spans="2:31" ht="15.6" customHeight="1">
      <c r="B101" s="125" t="s">
        <v>199</v>
      </c>
      <c r="C101" s="54" t="s">
        <v>232</v>
      </c>
      <c r="D101" s="68"/>
      <c r="E101" s="68" t="s">
        <v>204</v>
      </c>
      <c r="F101" s="46" t="s">
        <v>182</v>
      </c>
      <c r="G101" s="46" t="s">
        <v>184</v>
      </c>
      <c r="H101" s="47">
        <f>H100-H$15</f>
        <v>300.93790720246517</v>
      </c>
      <c r="I101" s="47">
        <f t="shared" ref="I101:AE101" si="143">I100-I$15</f>
        <v>305.5617634379139</v>
      </c>
      <c r="J101" s="47">
        <f t="shared" si="143"/>
        <v>310.18561967336274</v>
      </c>
      <c r="K101" s="47">
        <f t="shared" si="143"/>
        <v>314.80947590880953</v>
      </c>
      <c r="L101" s="47">
        <f t="shared" si="143"/>
        <v>314.80947590880953</v>
      </c>
      <c r="M101" s="47">
        <f t="shared" si="143"/>
        <v>314.80947590880953</v>
      </c>
      <c r="N101" s="47">
        <f t="shared" si="143"/>
        <v>314.80947590880953</v>
      </c>
      <c r="O101" s="47">
        <f t="shared" si="143"/>
        <v>314.80947590880953</v>
      </c>
      <c r="P101" s="47">
        <f t="shared" si="143"/>
        <v>314.80947590880953</v>
      </c>
      <c r="Q101" s="47">
        <f t="shared" si="143"/>
        <v>314.80947590880953</v>
      </c>
      <c r="R101" s="47">
        <f t="shared" si="143"/>
        <v>314.80947590880953</v>
      </c>
      <c r="S101" s="47">
        <f t="shared" si="143"/>
        <v>314.80947590880953</v>
      </c>
      <c r="T101" s="47">
        <f t="shared" si="143"/>
        <v>314.80947590880953</v>
      </c>
      <c r="U101" s="47">
        <f t="shared" si="143"/>
        <v>314.80947590880953</v>
      </c>
      <c r="V101" s="47">
        <f t="shared" si="143"/>
        <v>314.80947590880953</v>
      </c>
      <c r="W101" s="47">
        <f t="shared" si="143"/>
        <v>314.80947590880953</v>
      </c>
      <c r="X101" s="47">
        <f t="shared" si="143"/>
        <v>314.80947590880953</v>
      </c>
      <c r="Y101" s="47">
        <f t="shared" si="143"/>
        <v>314.80947590880953</v>
      </c>
      <c r="Z101" s="47">
        <f t="shared" si="143"/>
        <v>314.80947590880953</v>
      </c>
      <c r="AA101" s="47">
        <f t="shared" si="143"/>
        <v>314.80947590880953</v>
      </c>
      <c r="AB101" s="47">
        <f t="shared" si="143"/>
        <v>314.80947590880953</v>
      </c>
      <c r="AC101" s="47">
        <f t="shared" si="143"/>
        <v>314.80947590880953</v>
      </c>
      <c r="AD101" s="47">
        <f t="shared" si="143"/>
        <v>314.80947590880953</v>
      </c>
      <c r="AE101" s="47">
        <f t="shared" si="143"/>
        <v>314.80947590880953</v>
      </c>
    </row>
    <row r="102" spans="2:31" ht="15.6" customHeight="1">
      <c r="C102" s="24" t="s">
        <v>205</v>
      </c>
      <c r="D102" s="35"/>
      <c r="E102" s="35" t="s">
        <v>187</v>
      </c>
      <c r="F102" s="27"/>
      <c r="G102" s="27" t="s">
        <v>188</v>
      </c>
      <c r="H102" s="32">
        <f>H$17</f>
        <v>600</v>
      </c>
      <c r="I102" s="32">
        <f t="shared" ref="I102:AE102" si="144">I$17</f>
        <v>600</v>
      </c>
      <c r="J102" s="32">
        <f t="shared" si="144"/>
        <v>600</v>
      </c>
      <c r="K102" s="32">
        <f t="shared" si="144"/>
        <v>600</v>
      </c>
      <c r="L102" s="32">
        <f t="shared" si="144"/>
        <v>600</v>
      </c>
      <c r="M102" s="32">
        <f t="shared" si="144"/>
        <v>600</v>
      </c>
      <c r="N102" s="32">
        <f t="shared" si="144"/>
        <v>600</v>
      </c>
      <c r="O102" s="32">
        <f t="shared" si="144"/>
        <v>600</v>
      </c>
      <c r="P102" s="32">
        <f t="shared" si="144"/>
        <v>600</v>
      </c>
      <c r="Q102" s="32">
        <f t="shared" si="144"/>
        <v>600</v>
      </c>
      <c r="R102" s="32">
        <f t="shared" si="144"/>
        <v>600</v>
      </c>
      <c r="S102" s="32">
        <f t="shared" si="144"/>
        <v>600</v>
      </c>
      <c r="T102" s="32">
        <f t="shared" si="144"/>
        <v>600</v>
      </c>
      <c r="U102" s="32">
        <f t="shared" si="144"/>
        <v>600</v>
      </c>
      <c r="V102" s="32">
        <f t="shared" si="144"/>
        <v>600</v>
      </c>
      <c r="W102" s="32">
        <f t="shared" si="144"/>
        <v>600</v>
      </c>
      <c r="X102" s="32">
        <f t="shared" si="144"/>
        <v>600</v>
      </c>
      <c r="Y102" s="32">
        <f t="shared" si="144"/>
        <v>600</v>
      </c>
      <c r="Z102" s="32">
        <f t="shared" si="144"/>
        <v>600</v>
      </c>
      <c r="AA102" s="32">
        <f t="shared" si="144"/>
        <v>600</v>
      </c>
      <c r="AB102" s="32">
        <f t="shared" si="144"/>
        <v>600</v>
      </c>
      <c r="AC102" s="32">
        <f t="shared" si="144"/>
        <v>600</v>
      </c>
      <c r="AD102" s="32">
        <f t="shared" si="144"/>
        <v>600</v>
      </c>
      <c r="AE102" s="32">
        <f t="shared" si="144"/>
        <v>600</v>
      </c>
    </row>
    <row r="103" spans="2:31" ht="15" customHeight="1">
      <c r="C103" s="54" t="s">
        <v>206</v>
      </c>
      <c r="D103" s="68"/>
      <c r="E103" s="68" t="s">
        <v>207</v>
      </c>
      <c r="F103" s="46" t="s">
        <v>208</v>
      </c>
      <c r="G103" s="46" t="s">
        <v>188</v>
      </c>
      <c r="H103" s="47">
        <f>MIN(H101,H102)</f>
        <v>300.93790720246517</v>
      </c>
      <c r="I103" s="47">
        <f t="shared" ref="I103:AE103" si="145">MIN(I101,I102)</f>
        <v>305.5617634379139</v>
      </c>
      <c r="J103" s="47">
        <f t="shared" si="145"/>
        <v>310.18561967336274</v>
      </c>
      <c r="K103" s="47">
        <f t="shared" si="145"/>
        <v>314.80947590880953</v>
      </c>
      <c r="L103" s="47">
        <f t="shared" si="145"/>
        <v>314.80947590880953</v>
      </c>
      <c r="M103" s="47">
        <f t="shared" si="145"/>
        <v>314.80947590880953</v>
      </c>
      <c r="N103" s="47">
        <f t="shared" si="145"/>
        <v>314.80947590880953</v>
      </c>
      <c r="O103" s="47">
        <f t="shared" si="145"/>
        <v>314.80947590880953</v>
      </c>
      <c r="P103" s="47">
        <f t="shared" si="145"/>
        <v>314.80947590880953</v>
      </c>
      <c r="Q103" s="47">
        <f t="shared" si="145"/>
        <v>314.80947590880953</v>
      </c>
      <c r="R103" s="47">
        <f t="shared" si="145"/>
        <v>314.80947590880953</v>
      </c>
      <c r="S103" s="47">
        <f t="shared" si="145"/>
        <v>314.80947590880953</v>
      </c>
      <c r="T103" s="47">
        <f t="shared" si="145"/>
        <v>314.80947590880953</v>
      </c>
      <c r="U103" s="47">
        <f t="shared" si="145"/>
        <v>314.80947590880953</v>
      </c>
      <c r="V103" s="47">
        <f t="shared" si="145"/>
        <v>314.80947590880953</v>
      </c>
      <c r="W103" s="47">
        <f t="shared" si="145"/>
        <v>314.80947590880953</v>
      </c>
      <c r="X103" s="47">
        <f t="shared" si="145"/>
        <v>314.80947590880953</v>
      </c>
      <c r="Y103" s="47">
        <f t="shared" si="145"/>
        <v>314.80947590880953</v>
      </c>
      <c r="Z103" s="47">
        <f t="shared" si="145"/>
        <v>314.80947590880953</v>
      </c>
      <c r="AA103" s="47">
        <f t="shared" si="145"/>
        <v>314.80947590880953</v>
      </c>
      <c r="AB103" s="47">
        <f t="shared" si="145"/>
        <v>314.80947590880953</v>
      </c>
      <c r="AC103" s="47">
        <f t="shared" si="145"/>
        <v>314.80947590880953</v>
      </c>
      <c r="AD103" s="47">
        <f t="shared" si="145"/>
        <v>314.80947590880953</v>
      </c>
      <c r="AE103" s="47">
        <f t="shared" si="145"/>
        <v>314.80947590880953</v>
      </c>
    </row>
    <row r="104" spans="2:31" ht="15.6" customHeight="1">
      <c r="C104" s="24" t="s">
        <v>209</v>
      </c>
      <c r="D104" s="35"/>
      <c r="E104" s="35" t="s">
        <v>210</v>
      </c>
      <c r="F104" s="27" t="s">
        <v>208</v>
      </c>
      <c r="G104" s="27"/>
      <c r="H104" s="32" t="str">
        <f t="shared" ref="H104:AE104" si="146">_xlfn.XLOOKUP(H103,H101:H102,$C101:$C102)</f>
        <v>Bio-methane abatement cost minus levy savings</v>
      </c>
      <c r="I104" s="32" t="str">
        <f t="shared" si="146"/>
        <v>Bio-methane abatement cost minus levy savings</v>
      </c>
      <c r="J104" s="32" t="str">
        <f t="shared" si="146"/>
        <v>Bio-methane abatement cost minus levy savings</v>
      </c>
      <c r="K104" s="32" t="str">
        <f t="shared" si="146"/>
        <v>Bio-methane abatement cost minus levy savings</v>
      </c>
      <c r="L104" s="32" t="str">
        <f t="shared" si="146"/>
        <v>Bio-methane abatement cost minus levy savings</v>
      </c>
      <c r="M104" s="32" t="str">
        <f t="shared" si="146"/>
        <v>Bio-methane abatement cost minus levy savings</v>
      </c>
      <c r="N104" s="32" t="str">
        <f t="shared" si="146"/>
        <v>Bio-methane abatement cost minus levy savings</v>
      </c>
      <c r="O104" s="32" t="str">
        <f t="shared" si="146"/>
        <v>Bio-methane abatement cost minus levy savings</v>
      </c>
      <c r="P104" s="32" t="str">
        <f t="shared" si="146"/>
        <v>Bio-methane abatement cost minus levy savings</v>
      </c>
      <c r="Q104" s="32" t="str">
        <f t="shared" si="146"/>
        <v>Bio-methane abatement cost minus levy savings</v>
      </c>
      <c r="R104" s="32" t="str">
        <f t="shared" si="146"/>
        <v>Bio-methane abatement cost minus levy savings</v>
      </c>
      <c r="S104" s="32" t="str">
        <f t="shared" si="146"/>
        <v>Bio-methane abatement cost minus levy savings</v>
      </c>
      <c r="T104" s="32" t="str">
        <f t="shared" si="146"/>
        <v>Bio-methane abatement cost minus levy savings</v>
      </c>
      <c r="U104" s="32" t="str">
        <f t="shared" si="146"/>
        <v>Bio-methane abatement cost minus levy savings</v>
      </c>
      <c r="V104" s="32" t="str">
        <f t="shared" si="146"/>
        <v>Bio-methane abatement cost minus levy savings</v>
      </c>
      <c r="W104" s="32" t="str">
        <f t="shared" si="146"/>
        <v>Bio-methane abatement cost minus levy savings</v>
      </c>
      <c r="X104" s="32" t="str">
        <f t="shared" si="146"/>
        <v>Bio-methane abatement cost minus levy savings</v>
      </c>
      <c r="Y104" s="32" t="str">
        <f t="shared" si="146"/>
        <v>Bio-methane abatement cost minus levy savings</v>
      </c>
      <c r="Z104" s="32" t="str">
        <f t="shared" si="146"/>
        <v>Bio-methane abatement cost minus levy savings</v>
      </c>
      <c r="AA104" s="32" t="str">
        <f t="shared" si="146"/>
        <v>Bio-methane abatement cost minus levy savings</v>
      </c>
      <c r="AB104" s="32" t="str">
        <f t="shared" si="146"/>
        <v>Bio-methane abatement cost minus levy savings</v>
      </c>
      <c r="AC104" s="32" t="str">
        <f t="shared" si="146"/>
        <v>Bio-methane abatement cost minus levy savings</v>
      </c>
      <c r="AD104" s="32" t="str">
        <f t="shared" si="146"/>
        <v>Bio-methane abatement cost minus levy savings</v>
      </c>
      <c r="AE104" s="32" t="str">
        <f t="shared" si="146"/>
        <v>Bio-methane abatement cost minus levy savings</v>
      </c>
    </row>
    <row r="105" spans="2:31">
      <c r="C105" s="54" t="s">
        <v>211</v>
      </c>
      <c r="D105" s="68"/>
      <c r="E105" s="68" t="s">
        <v>212</v>
      </c>
      <c r="F105" s="46" t="s">
        <v>208</v>
      </c>
      <c r="G105" s="46" t="s">
        <v>162</v>
      </c>
      <c r="H105" s="47">
        <f>IF(H104=$C102,H$25,H$100*H$23)</f>
        <v>36.81356229773499</v>
      </c>
      <c r="I105" s="47">
        <f t="shared" ref="I105:AD105" si="147">IF(I104=$C102,I$25,I$100*I$23)</f>
        <v>80.916378910464175</v>
      </c>
      <c r="J105" s="47">
        <f t="shared" si="147"/>
        <v>107.32235935814528</v>
      </c>
      <c r="K105" s="47">
        <f t="shared" si="147"/>
        <v>153.64375404530779</v>
      </c>
      <c r="L105" s="47">
        <f t="shared" si="147"/>
        <v>217.66198489751915</v>
      </c>
      <c r="M105" s="47">
        <f t="shared" si="147"/>
        <v>288.08203883495162</v>
      </c>
      <c r="N105" s="47">
        <f t="shared" si="147"/>
        <v>358.50209277238434</v>
      </c>
      <c r="O105" s="47">
        <f t="shared" si="147"/>
        <v>428.92214670981679</v>
      </c>
      <c r="P105" s="47">
        <f t="shared" si="147"/>
        <v>492.94037756202823</v>
      </c>
      <c r="Q105" s="47">
        <f t="shared" si="147"/>
        <v>567.20152535059356</v>
      </c>
      <c r="R105" s="47">
        <f t="shared" si="147"/>
        <v>641.46267313915871</v>
      </c>
      <c r="S105" s="47">
        <f t="shared" si="147"/>
        <v>715.72382092772398</v>
      </c>
      <c r="T105" s="47">
        <f t="shared" si="147"/>
        <v>789.98496871628925</v>
      </c>
      <c r="U105" s="47">
        <f t="shared" si="147"/>
        <v>864.24611650485451</v>
      </c>
      <c r="V105" s="47">
        <f t="shared" si="147"/>
        <v>903.93741963322543</v>
      </c>
      <c r="W105" s="47">
        <f t="shared" si="147"/>
        <v>943.6287227615968</v>
      </c>
      <c r="X105" s="47">
        <f t="shared" si="147"/>
        <v>983.32002588996784</v>
      </c>
      <c r="Y105" s="47">
        <f t="shared" si="147"/>
        <v>1023.0113290183389</v>
      </c>
      <c r="Z105" s="47">
        <f t="shared" si="147"/>
        <v>1062.7026321467099</v>
      </c>
      <c r="AA105" s="47">
        <f t="shared" si="147"/>
        <v>1101.1135706580365</v>
      </c>
      <c r="AB105" s="47">
        <f t="shared" si="147"/>
        <v>1139.5245091693635</v>
      </c>
      <c r="AC105" s="47">
        <f t="shared" si="147"/>
        <v>1177.9354476806905</v>
      </c>
      <c r="AD105" s="47">
        <f t="shared" si="147"/>
        <v>1216.3463861920172</v>
      </c>
      <c r="AE105" s="47">
        <f>IF(AE104=$C102,AE$25,AE$100*AE$23)</f>
        <v>1254.757324703344</v>
      </c>
    </row>
    <row r="106" spans="2:31">
      <c r="B106" s="125" t="s">
        <v>213</v>
      </c>
      <c r="C106" s="24" t="s">
        <v>214</v>
      </c>
      <c r="D106" s="35"/>
      <c r="E106" s="35"/>
      <c r="F106" s="27" t="s">
        <v>215</v>
      </c>
      <c r="G106" s="27" t="s">
        <v>123</v>
      </c>
      <c r="H106" s="32">
        <f>IF(H104=$C102,H$21,H$14)</f>
        <v>91.482432970149247</v>
      </c>
      <c r="I106" s="32">
        <f t="shared" ref="I106:AE106" si="148">IF(I104=$C102,I$21,I$14)</f>
        <v>88.181520440298513</v>
      </c>
      <c r="J106" s="32">
        <f t="shared" si="148"/>
        <v>86.295284708955222</v>
      </c>
      <c r="K106" s="32">
        <f t="shared" si="148"/>
        <v>82.994372179104474</v>
      </c>
      <c r="L106" s="32">
        <f t="shared" si="148"/>
        <v>78.278782850746268</v>
      </c>
      <c r="M106" s="32">
        <f t="shared" si="148"/>
        <v>73.091634589552243</v>
      </c>
      <c r="N106" s="32">
        <f t="shared" si="148"/>
        <v>67.904486328358203</v>
      </c>
      <c r="O106" s="32">
        <f t="shared" si="148"/>
        <v>62.717338067164178</v>
      </c>
      <c r="P106" s="32">
        <f t="shared" si="148"/>
        <v>58.001748738805965</v>
      </c>
      <c r="Q106" s="32">
        <f t="shared" si="148"/>
        <v>52.531665117910443</v>
      </c>
      <c r="R106" s="32">
        <f t="shared" si="148"/>
        <v>47.061581497014927</v>
      </c>
      <c r="S106" s="32">
        <f t="shared" si="148"/>
        <v>41.591497876119398</v>
      </c>
      <c r="T106" s="32">
        <f t="shared" si="148"/>
        <v>36.121414255223868</v>
      </c>
      <c r="U106" s="32">
        <f t="shared" si="148"/>
        <v>30.651330634328353</v>
      </c>
      <c r="V106" s="32">
        <f t="shared" si="148"/>
        <v>27.727665250746263</v>
      </c>
      <c r="W106" s="32">
        <f t="shared" si="148"/>
        <v>24.803999867164169</v>
      </c>
      <c r="X106" s="32">
        <f t="shared" si="148"/>
        <v>21.880334483582079</v>
      </c>
      <c r="Y106" s="32">
        <f t="shared" si="148"/>
        <v>18.956669099999985</v>
      </c>
      <c r="Z106" s="32">
        <f t="shared" si="148"/>
        <v>16.033003716417912</v>
      </c>
      <c r="AA106" s="32">
        <f t="shared" si="148"/>
        <v>13.203650119402987</v>
      </c>
      <c r="AB106" s="32">
        <f t="shared" si="148"/>
        <v>10.374296522388057</v>
      </c>
      <c r="AC106" s="32">
        <f t="shared" si="148"/>
        <v>7.5449429253731299</v>
      </c>
      <c r="AD106" s="32">
        <f t="shared" si="148"/>
        <v>4.7155893283582024</v>
      </c>
      <c r="AE106" s="32">
        <f t="shared" si="148"/>
        <v>1.8862357313432851</v>
      </c>
    </row>
    <row r="107" spans="2:31">
      <c r="C107" s="54" t="s">
        <v>216</v>
      </c>
      <c r="D107" s="68"/>
      <c r="E107" s="68"/>
      <c r="F107" s="46" t="s">
        <v>217</v>
      </c>
      <c r="G107" s="46" t="s">
        <v>218</v>
      </c>
      <c r="H107" s="47">
        <f>H106*LSFO_LCV</f>
        <v>3.7233350218850743</v>
      </c>
      <c r="I107" s="47">
        <f t="shared" ref="I107:AE107" si="149">I106*LSFO_LCV</f>
        <v>3.5889878819201493</v>
      </c>
      <c r="J107" s="47">
        <f t="shared" si="149"/>
        <v>3.5122180876544777</v>
      </c>
      <c r="K107" s="47">
        <f t="shared" si="149"/>
        <v>3.3778709476895519</v>
      </c>
      <c r="L107" s="47">
        <f t="shared" si="149"/>
        <v>3.185946462025373</v>
      </c>
      <c r="M107" s="47">
        <f t="shared" si="149"/>
        <v>2.9748295277947765</v>
      </c>
      <c r="N107" s="47">
        <f t="shared" si="149"/>
        <v>2.7637125935641791</v>
      </c>
      <c r="O107" s="47">
        <f t="shared" si="149"/>
        <v>2.5525956593335821</v>
      </c>
      <c r="P107" s="47">
        <f t="shared" si="149"/>
        <v>2.3606711736694028</v>
      </c>
      <c r="Q107" s="47">
        <f t="shared" si="149"/>
        <v>2.1380387702989552</v>
      </c>
      <c r="R107" s="47">
        <f t="shared" si="149"/>
        <v>1.9154063669285075</v>
      </c>
      <c r="S107" s="47">
        <f t="shared" si="149"/>
        <v>1.6927739635580594</v>
      </c>
      <c r="T107" s="47">
        <f t="shared" si="149"/>
        <v>1.4701415601876116</v>
      </c>
      <c r="U107" s="47">
        <f t="shared" si="149"/>
        <v>1.2475091568171639</v>
      </c>
      <c r="V107" s="47">
        <f t="shared" si="149"/>
        <v>1.1285159757053729</v>
      </c>
      <c r="W107" s="47">
        <f t="shared" si="149"/>
        <v>1.0095227945935816</v>
      </c>
      <c r="X107" s="47">
        <f t="shared" si="149"/>
        <v>0.89052961348179061</v>
      </c>
      <c r="Y107" s="47">
        <f t="shared" si="149"/>
        <v>0.77153643236999936</v>
      </c>
      <c r="Z107" s="47">
        <f t="shared" si="149"/>
        <v>0.652543251258209</v>
      </c>
      <c r="AA107" s="47">
        <f t="shared" si="149"/>
        <v>0.53738855985970158</v>
      </c>
      <c r="AB107" s="47">
        <f t="shared" si="149"/>
        <v>0.42223386846119393</v>
      </c>
      <c r="AC107" s="47">
        <f t="shared" si="149"/>
        <v>0.30707917706268639</v>
      </c>
      <c r="AD107" s="47">
        <f t="shared" si="149"/>
        <v>0.19192448566417883</v>
      </c>
      <c r="AE107" s="47">
        <f t="shared" si="149"/>
        <v>7.6769794265671709E-2</v>
      </c>
    </row>
    <row r="108" spans="2:31">
      <c r="C108" s="24" t="s">
        <v>219</v>
      </c>
      <c r="D108" s="35"/>
      <c r="E108" s="35" t="s">
        <v>220</v>
      </c>
      <c r="F108" s="27" t="s">
        <v>221</v>
      </c>
      <c r="G108" s="27" t="s">
        <v>222</v>
      </c>
      <c r="H108" s="32">
        <f t="shared" ref="H108:AE108" si="150">H107*H$15</f>
        <v>69.812531660345144</v>
      </c>
      <c r="I108" s="32">
        <f t="shared" si="150"/>
        <v>67.293522786002796</v>
      </c>
      <c r="J108" s="32">
        <f t="shared" si="150"/>
        <v>65.854089143521463</v>
      </c>
      <c r="K108" s="32">
        <f t="shared" si="150"/>
        <v>63.335080269179095</v>
      </c>
      <c r="L108" s="32">
        <f t="shared" si="150"/>
        <v>59.736496162975747</v>
      </c>
      <c r="M108" s="32">
        <f t="shared" si="150"/>
        <v>55.77805364615206</v>
      </c>
      <c r="N108" s="32">
        <f t="shared" si="150"/>
        <v>51.819611129328358</v>
      </c>
      <c r="O108" s="32">
        <f t="shared" si="150"/>
        <v>47.861168612504663</v>
      </c>
      <c r="P108" s="32">
        <f t="shared" si="150"/>
        <v>44.262584506301302</v>
      </c>
      <c r="Q108" s="32">
        <f t="shared" si="150"/>
        <v>40.088226943105411</v>
      </c>
      <c r="R108" s="32">
        <f t="shared" si="150"/>
        <v>35.913869379909514</v>
      </c>
      <c r="S108" s="32">
        <f t="shared" si="150"/>
        <v>31.739511816713613</v>
      </c>
      <c r="T108" s="32">
        <f t="shared" si="150"/>
        <v>27.565154253517715</v>
      </c>
      <c r="U108" s="32">
        <f t="shared" si="150"/>
        <v>23.390796690321825</v>
      </c>
      <c r="V108" s="32">
        <f t="shared" si="150"/>
        <v>21.159674544475742</v>
      </c>
      <c r="W108" s="32">
        <f t="shared" si="150"/>
        <v>18.928552398629655</v>
      </c>
      <c r="X108" s="32">
        <f t="shared" si="150"/>
        <v>16.697430252783573</v>
      </c>
      <c r="Y108" s="32">
        <f t="shared" si="150"/>
        <v>14.466308106937488</v>
      </c>
      <c r="Z108" s="32">
        <f t="shared" si="150"/>
        <v>12.235185961091419</v>
      </c>
      <c r="AA108" s="32">
        <f t="shared" si="150"/>
        <v>10.076035497369405</v>
      </c>
      <c r="AB108" s="32">
        <f t="shared" si="150"/>
        <v>7.9168850336473859</v>
      </c>
      <c r="AC108" s="32">
        <f t="shared" si="150"/>
        <v>5.7577345699253701</v>
      </c>
      <c r="AD108" s="32">
        <f t="shared" si="150"/>
        <v>3.598584106203353</v>
      </c>
      <c r="AE108" s="32">
        <f t="shared" si="150"/>
        <v>1.4394336424813445</v>
      </c>
    </row>
    <row r="109" spans="2:31">
      <c r="B109" s="114" t="s">
        <v>247</v>
      </c>
      <c r="C109" s="54" t="s">
        <v>248</v>
      </c>
      <c r="D109" s="68"/>
      <c r="E109" s="68"/>
      <c r="F109" s="46" t="s">
        <v>249</v>
      </c>
      <c r="G109" s="46" t="s">
        <v>123</v>
      </c>
      <c r="H109" s="47">
        <f t="shared" ref="H109:AE109" si="151">H106-H$21</f>
        <v>-2.8293535970149577</v>
      </c>
      <c r="I109" s="47">
        <f t="shared" si="151"/>
        <v>-6.1302661268656919</v>
      </c>
      <c r="J109" s="47">
        <f t="shared" si="151"/>
        <v>-8.0165018582089829</v>
      </c>
      <c r="K109" s="47">
        <f t="shared" si="151"/>
        <v>-11.317414388059731</v>
      </c>
      <c r="L109" s="47">
        <f t="shared" si="151"/>
        <v>-16.033003716417937</v>
      </c>
      <c r="M109" s="47">
        <f t="shared" si="151"/>
        <v>-21.220151977611962</v>
      </c>
      <c r="N109" s="47">
        <f t="shared" si="151"/>
        <v>-26.407300238806002</v>
      </c>
      <c r="O109" s="47">
        <f t="shared" si="151"/>
        <v>-31.594448500000027</v>
      </c>
      <c r="P109" s="47">
        <f t="shared" si="151"/>
        <v>-36.31003782835824</v>
      </c>
      <c r="Q109" s="47">
        <f t="shared" si="151"/>
        <v>-41.780121449253762</v>
      </c>
      <c r="R109" s="47">
        <f t="shared" si="151"/>
        <v>-47.250205070149278</v>
      </c>
      <c r="S109" s="47">
        <f t="shared" si="151"/>
        <v>-52.720288691044807</v>
      </c>
      <c r="T109" s="47">
        <f t="shared" si="151"/>
        <v>-58.190372311940337</v>
      </c>
      <c r="U109" s="47">
        <f t="shared" si="151"/>
        <v>-63.660455932835852</v>
      </c>
      <c r="V109" s="47">
        <f t="shared" si="151"/>
        <v>-66.584121316417935</v>
      </c>
      <c r="W109" s="47">
        <f t="shared" si="151"/>
        <v>-69.50778670000004</v>
      </c>
      <c r="X109" s="47">
        <f t="shared" si="151"/>
        <v>-72.43145208358213</v>
      </c>
      <c r="Y109" s="47">
        <f t="shared" si="151"/>
        <v>-75.35511746716422</v>
      </c>
      <c r="Z109" s="47">
        <f t="shared" si="151"/>
        <v>-78.278782850746296</v>
      </c>
      <c r="AA109" s="47">
        <f t="shared" si="151"/>
        <v>-81.108136447761211</v>
      </c>
      <c r="AB109" s="47">
        <f t="shared" si="151"/>
        <v>-83.937490044776155</v>
      </c>
      <c r="AC109" s="47">
        <f t="shared" si="151"/>
        <v>-86.76684364179107</v>
      </c>
      <c r="AD109" s="47">
        <f t="shared" si="151"/>
        <v>-89.596197238805999</v>
      </c>
      <c r="AE109" s="47">
        <f t="shared" si="151"/>
        <v>-92.425550835820914</v>
      </c>
    </row>
    <row r="110" spans="2:31">
      <c r="C110" s="24" t="s">
        <v>250</v>
      </c>
      <c r="D110" s="35"/>
      <c r="E110" s="35"/>
      <c r="F110" s="27" t="s">
        <v>251</v>
      </c>
      <c r="G110" s="27" t="s">
        <v>218</v>
      </c>
      <c r="H110" s="32">
        <f t="shared" ref="H110:AE110" si="152">H109*LSFO_LCV</f>
        <v>-0.11515469139850878</v>
      </c>
      <c r="I110" s="32">
        <f t="shared" si="152"/>
        <v>-0.24950183136343365</v>
      </c>
      <c r="J110" s="32">
        <f t="shared" si="152"/>
        <v>-0.32627162562910561</v>
      </c>
      <c r="K110" s="32">
        <f t="shared" si="152"/>
        <v>-0.46061876559403109</v>
      </c>
      <c r="L110" s="32">
        <f t="shared" si="152"/>
        <v>-0.65254325125821</v>
      </c>
      <c r="M110" s="32">
        <f t="shared" si="152"/>
        <v>-0.86366018548880685</v>
      </c>
      <c r="N110" s="32">
        <f t="shared" si="152"/>
        <v>-1.0747771197194043</v>
      </c>
      <c r="O110" s="32">
        <f t="shared" si="152"/>
        <v>-1.285894053950001</v>
      </c>
      <c r="P110" s="32">
        <f t="shared" si="152"/>
        <v>-1.4778185396141803</v>
      </c>
      <c r="Q110" s="32">
        <f t="shared" si="152"/>
        <v>-1.7004509429846282</v>
      </c>
      <c r="R110" s="32">
        <f t="shared" si="152"/>
        <v>-1.9230833463550756</v>
      </c>
      <c r="S110" s="32">
        <f t="shared" si="152"/>
        <v>-2.1457157497255235</v>
      </c>
      <c r="T110" s="32">
        <f t="shared" si="152"/>
        <v>-2.3683481530959716</v>
      </c>
      <c r="U110" s="32">
        <f t="shared" si="152"/>
        <v>-2.5909805564664192</v>
      </c>
      <c r="V110" s="32">
        <f t="shared" si="152"/>
        <v>-2.7099737375782098</v>
      </c>
      <c r="W110" s="32">
        <f t="shared" si="152"/>
        <v>-2.8289669186900017</v>
      </c>
      <c r="X110" s="32">
        <f t="shared" si="152"/>
        <v>-2.9479600998017927</v>
      </c>
      <c r="Y110" s="32">
        <f t="shared" si="152"/>
        <v>-3.0669532809135838</v>
      </c>
      <c r="Z110" s="32">
        <f t="shared" si="152"/>
        <v>-3.1859464620253743</v>
      </c>
      <c r="AA110" s="32">
        <f t="shared" si="152"/>
        <v>-3.3011011534238812</v>
      </c>
      <c r="AB110" s="32">
        <f t="shared" si="152"/>
        <v>-3.4162558448223894</v>
      </c>
      <c r="AC110" s="32">
        <f t="shared" si="152"/>
        <v>-3.5314105362208967</v>
      </c>
      <c r="AD110" s="32">
        <f t="shared" si="152"/>
        <v>-3.646565227619404</v>
      </c>
      <c r="AE110" s="32">
        <f t="shared" si="152"/>
        <v>-3.7617199190179114</v>
      </c>
    </row>
    <row r="111" spans="2:31">
      <c r="C111" s="54" t="s">
        <v>252</v>
      </c>
      <c r="D111" s="68"/>
      <c r="E111" s="68" t="s">
        <v>253</v>
      </c>
      <c r="F111" s="46" t="s">
        <v>254</v>
      </c>
      <c r="G111" s="46" t="s">
        <v>162</v>
      </c>
      <c r="H111" s="47">
        <f t="shared" ref="H111:AE111" si="153">H110*H$16</f>
        <v>0</v>
      </c>
      <c r="I111" s="47">
        <f t="shared" si="153"/>
        <v>0</v>
      </c>
      <c r="J111" s="47">
        <f t="shared" si="153"/>
        <v>0</v>
      </c>
      <c r="K111" s="47">
        <f t="shared" si="153"/>
        <v>0</v>
      </c>
      <c r="L111" s="47">
        <f t="shared" si="153"/>
        <v>0</v>
      </c>
      <c r="M111" s="47">
        <f t="shared" si="153"/>
        <v>0</v>
      </c>
      <c r="N111" s="47">
        <f t="shared" si="153"/>
        <v>0</v>
      </c>
      <c r="O111" s="47">
        <f t="shared" si="153"/>
        <v>0</v>
      </c>
      <c r="P111" s="47">
        <f t="shared" si="153"/>
        <v>0</v>
      </c>
      <c r="Q111" s="47">
        <f t="shared" si="153"/>
        <v>0</v>
      </c>
      <c r="R111" s="47">
        <f t="shared" si="153"/>
        <v>0</v>
      </c>
      <c r="S111" s="47">
        <f t="shared" si="153"/>
        <v>0</v>
      </c>
      <c r="T111" s="47">
        <f t="shared" si="153"/>
        <v>0</v>
      </c>
      <c r="U111" s="47">
        <f t="shared" si="153"/>
        <v>0</v>
      </c>
      <c r="V111" s="47">
        <f t="shared" si="153"/>
        <v>0</v>
      </c>
      <c r="W111" s="47">
        <f t="shared" si="153"/>
        <v>0</v>
      </c>
      <c r="X111" s="47">
        <f t="shared" si="153"/>
        <v>0</v>
      </c>
      <c r="Y111" s="47">
        <f t="shared" si="153"/>
        <v>0</v>
      </c>
      <c r="Z111" s="47">
        <f t="shared" si="153"/>
        <v>0</v>
      </c>
      <c r="AA111" s="47">
        <f t="shared" si="153"/>
        <v>0</v>
      </c>
      <c r="AB111" s="47">
        <f t="shared" si="153"/>
        <v>0</v>
      </c>
      <c r="AC111" s="47">
        <f t="shared" si="153"/>
        <v>0</v>
      </c>
      <c r="AD111" s="47">
        <f t="shared" si="153"/>
        <v>0</v>
      </c>
      <c r="AE111" s="47">
        <f t="shared" si="153"/>
        <v>0</v>
      </c>
    </row>
    <row r="112" spans="2:31">
      <c r="B112" s="114" t="s">
        <v>223</v>
      </c>
      <c r="C112" s="30" t="s">
        <v>96</v>
      </c>
      <c r="D112" s="36"/>
      <c r="E112" s="36" t="s">
        <v>224</v>
      </c>
      <c r="F112" s="69"/>
      <c r="G112" s="69" t="s">
        <v>162</v>
      </c>
      <c r="H112" s="31">
        <f t="shared" ref="H112:AE112" si="154">H24*LSFO_LCV*1000</f>
        <v>595.59313106796242</v>
      </c>
      <c r="I112" s="31">
        <f t="shared" si="154"/>
        <v>579.61936893203745</v>
      </c>
      <c r="J112" s="31">
        <f t="shared" si="154"/>
        <v>563.64560679611247</v>
      </c>
      <c r="K112" s="31">
        <f t="shared" si="154"/>
        <v>547.6718446601941</v>
      </c>
      <c r="L112" s="31">
        <f t="shared" si="154"/>
        <v>547.6718446601941</v>
      </c>
      <c r="M112" s="31">
        <f t="shared" si="154"/>
        <v>547.6718446601941</v>
      </c>
      <c r="N112" s="31">
        <f t="shared" si="154"/>
        <v>547.6718446601941</v>
      </c>
      <c r="O112" s="31">
        <f t="shared" si="154"/>
        <v>547.6718446601941</v>
      </c>
      <c r="P112" s="31">
        <f t="shared" si="154"/>
        <v>547.6718446601941</v>
      </c>
      <c r="Q112" s="31">
        <f t="shared" si="154"/>
        <v>547.6718446601941</v>
      </c>
      <c r="R112" s="31">
        <f t="shared" si="154"/>
        <v>547.6718446601941</v>
      </c>
      <c r="S112" s="31">
        <f t="shared" si="154"/>
        <v>547.6718446601941</v>
      </c>
      <c r="T112" s="31">
        <f t="shared" si="154"/>
        <v>547.6718446601941</v>
      </c>
      <c r="U112" s="31">
        <f t="shared" si="154"/>
        <v>547.6718446601941</v>
      </c>
      <c r="V112" s="31">
        <f t="shared" si="154"/>
        <v>547.6718446601941</v>
      </c>
      <c r="W112" s="31">
        <f t="shared" si="154"/>
        <v>547.6718446601941</v>
      </c>
      <c r="X112" s="31">
        <f t="shared" si="154"/>
        <v>547.6718446601941</v>
      </c>
      <c r="Y112" s="31">
        <f t="shared" si="154"/>
        <v>547.6718446601941</v>
      </c>
      <c r="Z112" s="31">
        <f t="shared" si="154"/>
        <v>547.6718446601941</v>
      </c>
      <c r="AA112" s="31">
        <f t="shared" si="154"/>
        <v>547.6718446601941</v>
      </c>
      <c r="AB112" s="31">
        <f t="shared" si="154"/>
        <v>547.6718446601941</v>
      </c>
      <c r="AC112" s="31">
        <f t="shared" si="154"/>
        <v>547.6718446601941</v>
      </c>
      <c r="AD112" s="31">
        <f t="shared" si="154"/>
        <v>547.6718446601941</v>
      </c>
      <c r="AE112" s="31">
        <f t="shared" si="154"/>
        <v>547.6718446601941</v>
      </c>
    </row>
    <row r="113" spans="2:31">
      <c r="C113" s="126" t="s">
        <v>103</v>
      </c>
      <c r="D113" s="127"/>
      <c r="E113" s="127" t="s">
        <v>255</v>
      </c>
      <c r="F113" s="128"/>
      <c r="G113" s="128" t="s">
        <v>162</v>
      </c>
      <c r="H113" s="129">
        <f>H105</f>
        <v>36.81356229773499</v>
      </c>
      <c r="I113" s="129">
        <f t="shared" ref="I113:AD113" si="155">I105</f>
        <v>80.916378910464175</v>
      </c>
      <c r="J113" s="129">
        <f t="shared" si="155"/>
        <v>107.32235935814528</v>
      </c>
      <c r="K113" s="129">
        <f t="shared" si="155"/>
        <v>153.64375404530779</v>
      </c>
      <c r="L113" s="129">
        <f t="shared" si="155"/>
        <v>217.66198489751915</v>
      </c>
      <c r="M113" s="129">
        <f t="shared" si="155"/>
        <v>288.08203883495162</v>
      </c>
      <c r="N113" s="129">
        <f t="shared" si="155"/>
        <v>358.50209277238434</v>
      </c>
      <c r="O113" s="129">
        <f t="shared" si="155"/>
        <v>428.92214670981679</v>
      </c>
      <c r="P113" s="129">
        <f t="shared" si="155"/>
        <v>492.94037756202823</v>
      </c>
      <c r="Q113" s="129">
        <f t="shared" si="155"/>
        <v>567.20152535059356</v>
      </c>
      <c r="R113" s="129">
        <f t="shared" si="155"/>
        <v>641.46267313915871</v>
      </c>
      <c r="S113" s="129">
        <f t="shared" si="155"/>
        <v>715.72382092772398</v>
      </c>
      <c r="T113" s="129">
        <f t="shared" si="155"/>
        <v>789.98496871628925</v>
      </c>
      <c r="U113" s="129">
        <f t="shared" si="155"/>
        <v>864.24611650485451</v>
      </c>
      <c r="V113" s="129">
        <f t="shared" si="155"/>
        <v>903.93741963322543</v>
      </c>
      <c r="W113" s="129">
        <f t="shared" si="155"/>
        <v>943.6287227615968</v>
      </c>
      <c r="X113" s="129">
        <f t="shared" si="155"/>
        <v>983.32002588996784</v>
      </c>
      <c r="Y113" s="129">
        <f t="shared" si="155"/>
        <v>1023.0113290183389</v>
      </c>
      <c r="Z113" s="129">
        <f t="shared" si="155"/>
        <v>1062.7026321467099</v>
      </c>
      <c r="AA113" s="129">
        <f t="shared" si="155"/>
        <v>1101.1135706580365</v>
      </c>
      <c r="AB113" s="129">
        <f t="shared" si="155"/>
        <v>1139.5245091693635</v>
      </c>
      <c r="AC113" s="129">
        <f t="shared" si="155"/>
        <v>1177.9354476806905</v>
      </c>
      <c r="AD113" s="129">
        <f t="shared" si="155"/>
        <v>1216.3463861920172</v>
      </c>
      <c r="AE113" s="129">
        <f>AE105</f>
        <v>1254.757324703344</v>
      </c>
    </row>
    <row r="114" spans="2:31">
      <c r="C114" s="30" t="s">
        <v>107</v>
      </c>
      <c r="D114" s="36"/>
      <c r="E114" s="36"/>
      <c r="F114" s="69"/>
      <c r="G114" s="69" t="s">
        <v>162</v>
      </c>
      <c r="H114" s="31">
        <f t="shared" ref="H114:AE114" si="156">H108</f>
        <v>69.812531660345144</v>
      </c>
      <c r="I114" s="31">
        <f t="shared" si="156"/>
        <v>67.293522786002796</v>
      </c>
      <c r="J114" s="31">
        <f t="shared" si="156"/>
        <v>65.854089143521463</v>
      </c>
      <c r="K114" s="31">
        <f t="shared" si="156"/>
        <v>63.335080269179095</v>
      </c>
      <c r="L114" s="31">
        <f t="shared" si="156"/>
        <v>59.736496162975747</v>
      </c>
      <c r="M114" s="31">
        <f t="shared" si="156"/>
        <v>55.77805364615206</v>
      </c>
      <c r="N114" s="31">
        <f t="shared" si="156"/>
        <v>51.819611129328358</v>
      </c>
      <c r="O114" s="31">
        <f t="shared" si="156"/>
        <v>47.861168612504663</v>
      </c>
      <c r="P114" s="31">
        <f t="shared" si="156"/>
        <v>44.262584506301302</v>
      </c>
      <c r="Q114" s="31">
        <f t="shared" si="156"/>
        <v>40.088226943105411</v>
      </c>
      <c r="R114" s="31">
        <f t="shared" si="156"/>
        <v>35.913869379909514</v>
      </c>
      <c r="S114" s="31">
        <f t="shared" si="156"/>
        <v>31.739511816713613</v>
      </c>
      <c r="T114" s="31">
        <f t="shared" si="156"/>
        <v>27.565154253517715</v>
      </c>
      <c r="U114" s="31">
        <f t="shared" si="156"/>
        <v>23.390796690321825</v>
      </c>
      <c r="V114" s="31">
        <f t="shared" si="156"/>
        <v>21.159674544475742</v>
      </c>
      <c r="W114" s="31">
        <f t="shared" si="156"/>
        <v>18.928552398629655</v>
      </c>
      <c r="X114" s="31">
        <f t="shared" si="156"/>
        <v>16.697430252783573</v>
      </c>
      <c r="Y114" s="31">
        <f t="shared" si="156"/>
        <v>14.466308106937488</v>
      </c>
      <c r="Z114" s="31">
        <f t="shared" si="156"/>
        <v>12.235185961091419</v>
      </c>
      <c r="AA114" s="31">
        <f t="shared" si="156"/>
        <v>10.076035497369405</v>
      </c>
      <c r="AB114" s="31">
        <f t="shared" si="156"/>
        <v>7.9168850336473859</v>
      </c>
      <c r="AC114" s="31">
        <f t="shared" si="156"/>
        <v>5.7577345699253701</v>
      </c>
      <c r="AD114" s="31">
        <f t="shared" si="156"/>
        <v>3.598584106203353</v>
      </c>
      <c r="AE114" s="31">
        <f t="shared" si="156"/>
        <v>1.4394336424813445</v>
      </c>
    </row>
    <row r="115" spans="2:31" ht="15.75" thickBot="1">
      <c r="C115" s="138" t="s">
        <v>112</v>
      </c>
      <c r="D115" s="139"/>
      <c r="E115" s="139"/>
      <c r="F115" s="140"/>
      <c r="G115" s="140" t="s">
        <v>162</v>
      </c>
      <c r="H115" s="130">
        <f>H111</f>
        <v>0</v>
      </c>
      <c r="I115" s="130">
        <f t="shared" ref="I115:AE115" si="157">I111</f>
        <v>0</v>
      </c>
      <c r="J115" s="130">
        <f t="shared" si="157"/>
        <v>0</v>
      </c>
      <c r="K115" s="130">
        <f t="shared" si="157"/>
        <v>0</v>
      </c>
      <c r="L115" s="130">
        <f t="shared" si="157"/>
        <v>0</v>
      </c>
      <c r="M115" s="130">
        <f t="shared" si="157"/>
        <v>0</v>
      </c>
      <c r="N115" s="130">
        <f t="shared" si="157"/>
        <v>0</v>
      </c>
      <c r="O115" s="130">
        <f t="shared" si="157"/>
        <v>0</v>
      </c>
      <c r="P115" s="130">
        <f t="shared" si="157"/>
        <v>0</v>
      </c>
      <c r="Q115" s="130">
        <f t="shared" si="157"/>
        <v>0</v>
      </c>
      <c r="R115" s="130">
        <f t="shared" si="157"/>
        <v>0</v>
      </c>
      <c r="S115" s="130">
        <f t="shared" si="157"/>
        <v>0</v>
      </c>
      <c r="T115" s="130">
        <f t="shared" si="157"/>
        <v>0</v>
      </c>
      <c r="U115" s="130">
        <f t="shared" si="157"/>
        <v>0</v>
      </c>
      <c r="V115" s="130">
        <f t="shared" si="157"/>
        <v>0</v>
      </c>
      <c r="W115" s="130">
        <f t="shared" si="157"/>
        <v>0</v>
      </c>
      <c r="X115" s="130">
        <f t="shared" si="157"/>
        <v>0</v>
      </c>
      <c r="Y115" s="130">
        <f t="shared" si="157"/>
        <v>0</v>
      </c>
      <c r="Z115" s="130">
        <f t="shared" si="157"/>
        <v>0</v>
      </c>
      <c r="AA115" s="130">
        <f t="shared" si="157"/>
        <v>0</v>
      </c>
      <c r="AB115" s="130">
        <f t="shared" si="157"/>
        <v>0</v>
      </c>
      <c r="AC115" s="130">
        <f t="shared" si="157"/>
        <v>0</v>
      </c>
      <c r="AD115" s="130">
        <f t="shared" si="157"/>
        <v>0</v>
      </c>
      <c r="AE115" s="130">
        <f t="shared" si="157"/>
        <v>0</v>
      </c>
    </row>
    <row r="116" spans="2:31" ht="15.75" thickTop="1">
      <c r="C116" s="137" t="s">
        <v>114</v>
      </c>
      <c r="D116" s="36"/>
      <c r="E116" s="35"/>
      <c r="F116" s="27" t="s">
        <v>226</v>
      </c>
      <c r="G116" s="69" t="s">
        <v>162</v>
      </c>
      <c r="H116" s="31">
        <f>SUM(H112:H115)</f>
        <v>702.21922502604252</v>
      </c>
      <c r="I116" s="31">
        <f t="shared" ref="I116:AE116" si="158">SUM(I112:I115)</f>
        <v>727.82927062850445</v>
      </c>
      <c r="J116" s="31">
        <f t="shared" si="158"/>
        <v>736.82205529777923</v>
      </c>
      <c r="K116" s="31">
        <f t="shared" si="158"/>
        <v>764.650678974681</v>
      </c>
      <c r="L116" s="31">
        <f t="shared" si="158"/>
        <v>825.07032572068897</v>
      </c>
      <c r="M116" s="31">
        <f t="shared" si="158"/>
        <v>891.53193714129782</v>
      </c>
      <c r="N116" s="31">
        <f t="shared" si="158"/>
        <v>957.99354856190678</v>
      </c>
      <c r="O116" s="31">
        <f t="shared" si="158"/>
        <v>1024.4551599825154</v>
      </c>
      <c r="P116" s="31">
        <f t="shared" si="158"/>
        <v>1084.8748067285235</v>
      </c>
      <c r="Q116" s="31">
        <f t="shared" si="158"/>
        <v>1154.9615969538931</v>
      </c>
      <c r="R116" s="31">
        <f t="shared" si="158"/>
        <v>1225.0483871792624</v>
      </c>
      <c r="S116" s="31">
        <f t="shared" si="158"/>
        <v>1295.1351774046316</v>
      </c>
      <c r="T116" s="31">
        <f t="shared" si="158"/>
        <v>1365.221967630001</v>
      </c>
      <c r="U116" s="31">
        <f t="shared" si="158"/>
        <v>1435.3087578553705</v>
      </c>
      <c r="V116" s="31">
        <f t="shared" si="158"/>
        <v>1472.7689388378953</v>
      </c>
      <c r="W116" s="31">
        <f t="shared" si="158"/>
        <v>1510.2291198204205</v>
      </c>
      <c r="X116" s="31">
        <f t="shared" si="158"/>
        <v>1547.6893008029454</v>
      </c>
      <c r="Y116" s="31">
        <f t="shared" si="158"/>
        <v>1585.1494817854705</v>
      </c>
      <c r="Z116" s="31">
        <f t="shared" si="158"/>
        <v>1622.6096627679956</v>
      </c>
      <c r="AA116" s="31">
        <f t="shared" si="158"/>
        <v>1658.8614508156002</v>
      </c>
      <c r="AB116" s="31">
        <f t="shared" si="158"/>
        <v>1695.113238863205</v>
      </c>
      <c r="AC116" s="31">
        <f t="shared" si="158"/>
        <v>1731.36502691081</v>
      </c>
      <c r="AD116" s="31">
        <f t="shared" si="158"/>
        <v>1767.6168149584146</v>
      </c>
      <c r="AE116" s="31">
        <f t="shared" si="158"/>
        <v>1803.8686030060196</v>
      </c>
    </row>
    <row r="117" spans="2:31">
      <c r="C117" s="35"/>
      <c r="D117" s="27"/>
      <c r="E117" s="27"/>
      <c r="F117" s="32"/>
      <c r="H117" s="32"/>
      <c r="J117" s="3"/>
      <c r="K117" s="3"/>
      <c r="L117" s="3"/>
      <c r="M117" s="3"/>
      <c r="N117" s="3"/>
      <c r="O117" s="3"/>
      <c r="P117" s="3"/>
      <c r="Q117" s="3"/>
      <c r="R117" s="3"/>
      <c r="S117" s="3"/>
      <c r="T117" s="3"/>
      <c r="U117" s="3"/>
      <c r="V117" s="3"/>
      <c r="W117" s="3"/>
      <c r="X117" s="3"/>
      <c r="Y117" s="3"/>
      <c r="Z117" s="3"/>
      <c r="AA117" s="3"/>
      <c r="AB117" s="3"/>
      <c r="AC117" s="3"/>
      <c r="AD117" s="3"/>
    </row>
    <row r="118" spans="2:31">
      <c r="H118" s="32"/>
      <c r="J118" s="3"/>
      <c r="K118" s="3"/>
      <c r="L118" s="3"/>
      <c r="M118" s="3"/>
      <c r="N118" s="3"/>
      <c r="O118" s="3"/>
      <c r="P118" s="3"/>
      <c r="Q118" s="3"/>
      <c r="R118" s="3"/>
      <c r="S118" s="3"/>
      <c r="T118" s="3"/>
      <c r="U118" s="3"/>
      <c r="V118" s="3"/>
      <c r="W118" s="3"/>
      <c r="X118" s="3"/>
      <c r="Y118" s="3"/>
      <c r="Z118" s="3"/>
      <c r="AA118" s="3"/>
      <c r="AB118" s="3"/>
      <c r="AC118" s="3"/>
      <c r="AD118" s="3"/>
    </row>
    <row r="119" spans="2:31">
      <c r="C119" s="30" t="s">
        <v>92</v>
      </c>
      <c r="D119" s="35"/>
      <c r="E119" s="35"/>
      <c r="F119" s="27"/>
      <c r="G119" s="27"/>
    </row>
    <row r="120" spans="2:31" ht="30">
      <c r="C120" s="61" t="s">
        <v>135</v>
      </c>
      <c r="D120" s="65" t="s">
        <v>136</v>
      </c>
      <c r="E120" s="65" t="s">
        <v>94</v>
      </c>
      <c r="F120" s="65" t="s">
        <v>118</v>
      </c>
      <c r="G120" s="51" t="s">
        <v>119</v>
      </c>
      <c r="H120" s="51">
        <v>2027</v>
      </c>
      <c r="I120" s="61">
        <v>2028</v>
      </c>
      <c r="J120" s="61">
        <v>2029</v>
      </c>
      <c r="K120" s="61">
        <v>2030</v>
      </c>
      <c r="L120" s="61">
        <v>2031</v>
      </c>
      <c r="M120" s="61">
        <v>2032</v>
      </c>
      <c r="N120" s="61">
        <v>2033</v>
      </c>
      <c r="O120" s="61">
        <v>2034</v>
      </c>
      <c r="P120" s="61">
        <v>2035</v>
      </c>
      <c r="Q120" s="51">
        <v>2036</v>
      </c>
      <c r="R120" s="51">
        <v>2037</v>
      </c>
      <c r="S120" s="61">
        <v>2038</v>
      </c>
      <c r="T120" s="61">
        <v>2039</v>
      </c>
      <c r="U120" s="61">
        <v>2040</v>
      </c>
      <c r="V120" s="61">
        <v>2041</v>
      </c>
      <c r="W120" s="61">
        <v>2042</v>
      </c>
      <c r="X120" s="61">
        <v>2043</v>
      </c>
      <c r="Y120" s="61">
        <v>2044</v>
      </c>
      <c r="Z120" s="61">
        <v>2045</v>
      </c>
      <c r="AA120" s="51">
        <v>2046</v>
      </c>
      <c r="AB120" s="51">
        <v>2047</v>
      </c>
      <c r="AC120" s="61">
        <v>2048</v>
      </c>
      <c r="AD120" s="61">
        <v>2049</v>
      </c>
      <c r="AE120" s="61">
        <v>2050</v>
      </c>
    </row>
    <row r="121" spans="2:31">
      <c r="B121" s="125" t="s">
        <v>199</v>
      </c>
      <c r="C121" s="24" t="s">
        <v>176</v>
      </c>
      <c r="D121" s="35"/>
      <c r="E121" s="35" t="s">
        <v>256</v>
      </c>
      <c r="F121" s="27" t="s">
        <v>177</v>
      </c>
      <c r="G121" s="27" t="s">
        <v>156</v>
      </c>
      <c r="H121" s="32">
        <f t="shared" ref="H121:AE121" si="159">H42</f>
        <v>0</v>
      </c>
      <c r="I121" s="32">
        <f t="shared" si="159"/>
        <v>0</v>
      </c>
      <c r="J121" s="32">
        <f t="shared" si="159"/>
        <v>0</v>
      </c>
      <c r="K121" s="32">
        <f t="shared" si="159"/>
        <v>0</v>
      </c>
      <c r="L121" s="32">
        <f t="shared" si="159"/>
        <v>0</v>
      </c>
      <c r="M121" s="32">
        <f t="shared" si="159"/>
        <v>0</v>
      </c>
      <c r="N121" s="32">
        <f t="shared" si="159"/>
        <v>0</v>
      </c>
      <c r="O121" s="32">
        <f t="shared" si="159"/>
        <v>0</v>
      </c>
      <c r="P121" s="32">
        <f t="shared" si="159"/>
        <v>0</v>
      </c>
      <c r="Q121" s="32">
        <f t="shared" si="159"/>
        <v>0</v>
      </c>
      <c r="R121" s="32">
        <f t="shared" si="159"/>
        <v>0</v>
      </c>
      <c r="S121" s="32">
        <f t="shared" si="159"/>
        <v>0</v>
      </c>
      <c r="T121" s="32">
        <f t="shared" si="159"/>
        <v>0</v>
      </c>
      <c r="U121" s="32">
        <f t="shared" si="159"/>
        <v>0</v>
      </c>
      <c r="V121" s="32">
        <f t="shared" si="159"/>
        <v>0</v>
      </c>
      <c r="W121" s="32">
        <f t="shared" si="159"/>
        <v>0</v>
      </c>
      <c r="X121" s="32">
        <f t="shared" si="159"/>
        <v>0</v>
      </c>
      <c r="Y121" s="32">
        <f t="shared" si="159"/>
        <v>0</v>
      </c>
      <c r="Z121" s="32">
        <f t="shared" si="159"/>
        <v>0</v>
      </c>
      <c r="AA121" s="32">
        <f t="shared" si="159"/>
        <v>0</v>
      </c>
      <c r="AB121" s="32">
        <f t="shared" si="159"/>
        <v>0</v>
      </c>
      <c r="AC121" s="32">
        <f t="shared" si="159"/>
        <v>7.6769794265671723E-2</v>
      </c>
      <c r="AD121" s="32">
        <f t="shared" si="159"/>
        <v>0.19192448566417927</v>
      </c>
      <c r="AE121" s="32">
        <f t="shared" si="159"/>
        <v>0.30707917706268639</v>
      </c>
    </row>
    <row r="122" spans="2:31">
      <c r="C122" s="54" t="s">
        <v>205</v>
      </c>
      <c r="D122" s="68"/>
      <c r="E122" s="68" t="s">
        <v>187</v>
      </c>
      <c r="F122" s="46"/>
      <c r="G122" s="46" t="s">
        <v>188</v>
      </c>
      <c r="H122" s="47">
        <f>H$17</f>
        <v>600</v>
      </c>
      <c r="I122" s="47">
        <f t="shared" ref="I122:AE122" si="160">I$17</f>
        <v>600</v>
      </c>
      <c r="J122" s="47">
        <f t="shared" si="160"/>
        <v>600</v>
      </c>
      <c r="K122" s="47">
        <f t="shared" si="160"/>
        <v>600</v>
      </c>
      <c r="L122" s="47">
        <f t="shared" si="160"/>
        <v>600</v>
      </c>
      <c r="M122" s="47">
        <f t="shared" si="160"/>
        <v>600</v>
      </c>
      <c r="N122" s="47">
        <f t="shared" si="160"/>
        <v>600</v>
      </c>
      <c r="O122" s="47">
        <f t="shared" si="160"/>
        <v>600</v>
      </c>
      <c r="P122" s="47">
        <f t="shared" si="160"/>
        <v>600</v>
      </c>
      <c r="Q122" s="47">
        <f t="shared" si="160"/>
        <v>600</v>
      </c>
      <c r="R122" s="47">
        <f t="shared" si="160"/>
        <v>600</v>
      </c>
      <c r="S122" s="47">
        <f t="shared" si="160"/>
        <v>600</v>
      </c>
      <c r="T122" s="47">
        <f t="shared" si="160"/>
        <v>600</v>
      </c>
      <c r="U122" s="47">
        <f t="shared" si="160"/>
        <v>600</v>
      </c>
      <c r="V122" s="47">
        <f t="shared" si="160"/>
        <v>600</v>
      </c>
      <c r="W122" s="47">
        <f t="shared" si="160"/>
        <v>600</v>
      </c>
      <c r="X122" s="47">
        <f t="shared" si="160"/>
        <v>600</v>
      </c>
      <c r="Y122" s="47">
        <f t="shared" si="160"/>
        <v>600</v>
      </c>
      <c r="Z122" s="47">
        <f t="shared" si="160"/>
        <v>600</v>
      </c>
      <c r="AA122" s="47">
        <f t="shared" si="160"/>
        <v>600</v>
      </c>
      <c r="AB122" s="47">
        <f t="shared" si="160"/>
        <v>600</v>
      </c>
      <c r="AC122" s="47">
        <f t="shared" si="160"/>
        <v>600</v>
      </c>
      <c r="AD122" s="47">
        <f t="shared" si="160"/>
        <v>600</v>
      </c>
      <c r="AE122" s="47">
        <f t="shared" si="160"/>
        <v>600</v>
      </c>
    </row>
    <row r="123" spans="2:31">
      <c r="C123" s="24" t="s">
        <v>257</v>
      </c>
      <c r="D123" s="35"/>
      <c r="E123" s="35"/>
      <c r="F123" s="27" t="s">
        <v>258</v>
      </c>
      <c r="G123" s="27" t="s">
        <v>162</v>
      </c>
      <c r="H123" s="32">
        <f>H122*H121</f>
        <v>0</v>
      </c>
      <c r="I123" s="32">
        <f t="shared" ref="I123:AE123" si="161">I122*I121</f>
        <v>0</v>
      </c>
      <c r="J123" s="32">
        <f t="shared" si="161"/>
        <v>0</v>
      </c>
      <c r="K123" s="32">
        <f t="shared" si="161"/>
        <v>0</v>
      </c>
      <c r="L123" s="32">
        <f t="shared" si="161"/>
        <v>0</v>
      </c>
      <c r="M123" s="32">
        <f t="shared" si="161"/>
        <v>0</v>
      </c>
      <c r="N123" s="32">
        <f t="shared" si="161"/>
        <v>0</v>
      </c>
      <c r="O123" s="32">
        <f t="shared" si="161"/>
        <v>0</v>
      </c>
      <c r="P123" s="32">
        <f t="shared" si="161"/>
        <v>0</v>
      </c>
      <c r="Q123" s="32">
        <f t="shared" si="161"/>
        <v>0</v>
      </c>
      <c r="R123" s="32">
        <f t="shared" si="161"/>
        <v>0</v>
      </c>
      <c r="S123" s="32">
        <f t="shared" si="161"/>
        <v>0</v>
      </c>
      <c r="T123" s="32">
        <f t="shared" si="161"/>
        <v>0</v>
      </c>
      <c r="U123" s="32">
        <f t="shared" si="161"/>
        <v>0</v>
      </c>
      <c r="V123" s="32">
        <f t="shared" si="161"/>
        <v>0</v>
      </c>
      <c r="W123" s="32">
        <f t="shared" si="161"/>
        <v>0</v>
      </c>
      <c r="X123" s="32">
        <f t="shared" si="161"/>
        <v>0</v>
      </c>
      <c r="Y123" s="32">
        <f t="shared" si="161"/>
        <v>0</v>
      </c>
      <c r="Z123" s="32">
        <f t="shared" si="161"/>
        <v>0</v>
      </c>
      <c r="AA123" s="32">
        <f t="shared" si="161"/>
        <v>0</v>
      </c>
      <c r="AB123" s="32">
        <f t="shared" si="161"/>
        <v>0</v>
      </c>
      <c r="AC123" s="32">
        <f t="shared" si="161"/>
        <v>46.061876559403032</v>
      </c>
      <c r="AD123" s="32">
        <f t="shared" si="161"/>
        <v>115.15469139850757</v>
      </c>
      <c r="AE123" s="32">
        <f t="shared" si="161"/>
        <v>184.24750623761184</v>
      </c>
    </row>
    <row r="124" spans="2:31">
      <c r="B124" s="125" t="s">
        <v>108</v>
      </c>
      <c r="C124" s="54" t="s">
        <v>178</v>
      </c>
      <c r="D124" s="68"/>
      <c r="E124" s="68" t="s">
        <v>259</v>
      </c>
      <c r="F124" s="46" t="s">
        <v>177</v>
      </c>
      <c r="G124" s="46" t="s">
        <v>159</v>
      </c>
      <c r="H124" s="47">
        <f t="shared" ref="H124:AE124" si="162">H43</f>
        <v>-3.3394860505567165</v>
      </c>
      <c r="I124" s="47">
        <f t="shared" si="162"/>
        <v>-3.2051389105917916</v>
      </c>
      <c r="J124" s="47">
        <f t="shared" si="162"/>
        <v>-3.1283691163261196</v>
      </c>
      <c r="K124" s="47">
        <f t="shared" si="162"/>
        <v>-2.9940219763611942</v>
      </c>
      <c r="L124" s="47">
        <f t="shared" si="162"/>
        <v>-2.8020974906970153</v>
      </c>
      <c r="M124" s="47">
        <f t="shared" si="162"/>
        <v>-2.5909805564664183</v>
      </c>
      <c r="N124" s="47">
        <f t="shared" si="162"/>
        <v>-2.3798636222358209</v>
      </c>
      <c r="O124" s="47">
        <f t="shared" si="162"/>
        <v>-2.168746688005224</v>
      </c>
      <c r="P124" s="47">
        <f t="shared" si="162"/>
        <v>-1.9768222023410444</v>
      </c>
      <c r="Q124" s="47">
        <f t="shared" si="162"/>
        <v>-1.7541897989705968</v>
      </c>
      <c r="R124" s="47">
        <f t="shared" si="162"/>
        <v>-1.5315573956001496</v>
      </c>
      <c r="S124" s="47">
        <f t="shared" si="162"/>
        <v>-1.3089249922297013</v>
      </c>
      <c r="T124" s="47">
        <f t="shared" si="162"/>
        <v>-1.0862925888592534</v>
      </c>
      <c r="U124" s="47">
        <f t="shared" si="162"/>
        <v>-0.86366018548880585</v>
      </c>
      <c r="V124" s="47">
        <f t="shared" si="162"/>
        <v>-0.74466700437701483</v>
      </c>
      <c r="W124" s="47">
        <f t="shared" si="162"/>
        <v>-0.62567382326522358</v>
      </c>
      <c r="X124" s="47">
        <f t="shared" si="162"/>
        <v>-0.50668064215343245</v>
      </c>
      <c r="Y124" s="47">
        <f t="shared" si="162"/>
        <v>-0.38768746104164126</v>
      </c>
      <c r="Z124" s="47">
        <f t="shared" si="162"/>
        <v>-0.2686942799298509</v>
      </c>
      <c r="AA124" s="47">
        <f t="shared" si="162"/>
        <v>-0.15353958853134345</v>
      </c>
      <c r="AB124" s="47">
        <f t="shared" si="162"/>
        <v>-3.8384897132835827E-2</v>
      </c>
      <c r="AC124" s="47">
        <f t="shared" si="162"/>
        <v>0</v>
      </c>
      <c r="AD124" s="47">
        <f t="shared" si="162"/>
        <v>0</v>
      </c>
      <c r="AE124" s="47">
        <f t="shared" si="162"/>
        <v>0</v>
      </c>
    </row>
    <row r="125" spans="2:31">
      <c r="C125" s="24" t="s">
        <v>236</v>
      </c>
      <c r="D125" s="35"/>
      <c r="E125" s="35" t="s">
        <v>237</v>
      </c>
      <c r="F125" s="27" t="s">
        <v>238</v>
      </c>
      <c r="G125" s="27" t="s">
        <v>239</v>
      </c>
      <c r="H125" s="32">
        <f>H124*H52</f>
        <v>-705.75585440434384</v>
      </c>
      <c r="I125" s="32">
        <f t="shared" ref="I125:AE125" si="163">I124*I52</f>
        <v>-746.83429402360821</v>
      </c>
      <c r="J125" s="32">
        <f t="shared" si="163"/>
        <v>-796.75298993235901</v>
      </c>
      <c r="K125" s="32">
        <f t="shared" si="163"/>
        <v>-827.43159174913353</v>
      </c>
      <c r="L125" s="32">
        <f t="shared" si="163"/>
        <v>-824.63056936890098</v>
      </c>
      <c r="M125" s="32">
        <f t="shared" si="163"/>
        <v>-808.95516809109085</v>
      </c>
      <c r="N125" s="32">
        <f t="shared" si="163"/>
        <v>-785.70943658076203</v>
      </c>
      <c r="O125" s="32">
        <f t="shared" si="163"/>
        <v>-754.89337483791405</v>
      </c>
      <c r="P125" s="32">
        <f t="shared" si="163"/>
        <v>-723.53156112590534</v>
      </c>
      <c r="Q125" s="32">
        <f t="shared" si="163"/>
        <v>-673.49773432786856</v>
      </c>
      <c r="R125" s="32">
        <f t="shared" si="163"/>
        <v>-615.48065019372109</v>
      </c>
      <c r="S125" s="32">
        <f t="shared" si="163"/>
        <v>-549.48030872346249</v>
      </c>
      <c r="T125" s="32">
        <f t="shared" si="163"/>
        <v>-475.49670991709303</v>
      </c>
      <c r="U125" s="32">
        <f t="shared" si="163"/>
        <v>-393.52985377461277</v>
      </c>
      <c r="V125" s="32">
        <f t="shared" si="163"/>
        <v>-351.70782973779569</v>
      </c>
      <c r="W125" s="32">
        <f t="shared" si="163"/>
        <v>-305.92367182603658</v>
      </c>
      <c r="X125" s="32">
        <f t="shared" si="163"/>
        <v>-256.17738003933601</v>
      </c>
      <c r="Y125" s="32">
        <f t="shared" si="163"/>
        <v>-202.46895437769351</v>
      </c>
      <c r="Z125" s="32">
        <f t="shared" si="163"/>
        <v>-144.79839484110983</v>
      </c>
      <c r="AA125" s="32">
        <f t="shared" si="163"/>
        <v>-85.29815531239386</v>
      </c>
      <c r="AB125" s="32">
        <f t="shared" si="163"/>
        <v>-21.963592678895495</v>
      </c>
      <c r="AC125" s="32">
        <f t="shared" si="163"/>
        <v>0</v>
      </c>
      <c r="AD125" s="32">
        <f t="shared" si="163"/>
        <v>0</v>
      </c>
      <c r="AE125" s="32">
        <f t="shared" si="163"/>
        <v>0</v>
      </c>
    </row>
    <row r="126" spans="2:31">
      <c r="B126" s="125" t="s">
        <v>213</v>
      </c>
      <c r="C126" s="54" t="s">
        <v>216</v>
      </c>
      <c r="D126" s="68"/>
      <c r="E126" s="68"/>
      <c r="F126" s="46" t="s">
        <v>217</v>
      </c>
      <c r="G126" s="46" t="s">
        <v>218</v>
      </c>
      <c r="H126" s="47">
        <f t="shared" ref="H126:AE126" si="164">H40*LSFO_LCV</f>
        <v>0.3838489713283581</v>
      </c>
      <c r="I126" s="47">
        <f t="shared" si="164"/>
        <v>0.3838489713283581</v>
      </c>
      <c r="J126" s="47">
        <f t="shared" si="164"/>
        <v>0.3838489713283581</v>
      </c>
      <c r="K126" s="47">
        <f t="shared" si="164"/>
        <v>0.3838489713283581</v>
      </c>
      <c r="L126" s="47">
        <f t="shared" si="164"/>
        <v>0.3838489713283581</v>
      </c>
      <c r="M126" s="47">
        <f t="shared" si="164"/>
        <v>0.3838489713283581</v>
      </c>
      <c r="N126" s="47">
        <f t="shared" si="164"/>
        <v>0.3838489713283581</v>
      </c>
      <c r="O126" s="47">
        <f t="shared" si="164"/>
        <v>0.3838489713283581</v>
      </c>
      <c r="P126" s="47">
        <f t="shared" si="164"/>
        <v>0.3838489713283581</v>
      </c>
      <c r="Q126" s="47">
        <f t="shared" si="164"/>
        <v>0.3838489713283581</v>
      </c>
      <c r="R126" s="47">
        <f t="shared" si="164"/>
        <v>0.3838489713283581</v>
      </c>
      <c r="S126" s="47">
        <f t="shared" si="164"/>
        <v>0.3838489713283581</v>
      </c>
      <c r="T126" s="47">
        <f t="shared" si="164"/>
        <v>0.3838489713283581</v>
      </c>
      <c r="U126" s="47">
        <f t="shared" si="164"/>
        <v>0.3838489713283581</v>
      </c>
      <c r="V126" s="47">
        <f t="shared" si="164"/>
        <v>0.3838489713283581</v>
      </c>
      <c r="W126" s="47">
        <f t="shared" si="164"/>
        <v>0.3838489713283581</v>
      </c>
      <c r="X126" s="47">
        <f t="shared" si="164"/>
        <v>0.3838489713283581</v>
      </c>
      <c r="Y126" s="47">
        <f t="shared" si="164"/>
        <v>0.3838489713283581</v>
      </c>
      <c r="Z126" s="47">
        <f t="shared" si="164"/>
        <v>0.3838489713283581</v>
      </c>
      <c r="AA126" s="47">
        <f t="shared" si="164"/>
        <v>0.3838489713283581</v>
      </c>
      <c r="AB126" s="47">
        <f t="shared" si="164"/>
        <v>0.3838489713283581</v>
      </c>
      <c r="AC126" s="47">
        <f t="shared" si="164"/>
        <v>0.3838489713283581</v>
      </c>
      <c r="AD126" s="47">
        <f t="shared" si="164"/>
        <v>0.3838489713283581</v>
      </c>
      <c r="AE126" s="47">
        <f t="shared" si="164"/>
        <v>0.3838489713283581</v>
      </c>
    </row>
    <row r="127" spans="2:31">
      <c r="C127" s="24" t="s">
        <v>219</v>
      </c>
      <c r="D127" s="35"/>
      <c r="E127" s="35" t="s">
        <v>220</v>
      </c>
      <c r="F127" s="27" t="s">
        <v>221</v>
      </c>
      <c r="G127" s="27" t="s">
        <v>222</v>
      </c>
      <c r="H127" s="32">
        <f t="shared" ref="H127:AE127" si="165">H126*H$15</f>
        <v>7.197168212406714</v>
      </c>
      <c r="I127" s="32">
        <f t="shared" si="165"/>
        <v>7.197168212406714</v>
      </c>
      <c r="J127" s="32">
        <f t="shared" si="165"/>
        <v>7.197168212406714</v>
      </c>
      <c r="K127" s="32">
        <f t="shared" si="165"/>
        <v>7.197168212406714</v>
      </c>
      <c r="L127" s="32">
        <f t="shared" si="165"/>
        <v>7.197168212406714</v>
      </c>
      <c r="M127" s="32">
        <f t="shared" si="165"/>
        <v>7.197168212406714</v>
      </c>
      <c r="N127" s="32">
        <f t="shared" si="165"/>
        <v>7.197168212406714</v>
      </c>
      <c r="O127" s="32">
        <f t="shared" si="165"/>
        <v>7.197168212406714</v>
      </c>
      <c r="P127" s="32">
        <f t="shared" si="165"/>
        <v>7.197168212406714</v>
      </c>
      <c r="Q127" s="32">
        <f t="shared" si="165"/>
        <v>7.197168212406714</v>
      </c>
      <c r="R127" s="32">
        <f t="shared" si="165"/>
        <v>7.197168212406714</v>
      </c>
      <c r="S127" s="32">
        <f t="shared" si="165"/>
        <v>7.197168212406714</v>
      </c>
      <c r="T127" s="32">
        <f t="shared" si="165"/>
        <v>7.197168212406714</v>
      </c>
      <c r="U127" s="32">
        <f t="shared" si="165"/>
        <v>7.197168212406714</v>
      </c>
      <c r="V127" s="32">
        <f t="shared" si="165"/>
        <v>7.197168212406714</v>
      </c>
      <c r="W127" s="32">
        <f t="shared" si="165"/>
        <v>7.197168212406714</v>
      </c>
      <c r="X127" s="32">
        <f t="shared" si="165"/>
        <v>7.197168212406714</v>
      </c>
      <c r="Y127" s="32">
        <f t="shared" si="165"/>
        <v>7.197168212406714</v>
      </c>
      <c r="Z127" s="32">
        <f t="shared" si="165"/>
        <v>7.197168212406714</v>
      </c>
      <c r="AA127" s="32">
        <f t="shared" si="165"/>
        <v>7.197168212406714</v>
      </c>
      <c r="AB127" s="32">
        <f t="shared" si="165"/>
        <v>7.197168212406714</v>
      </c>
      <c r="AC127" s="32">
        <f t="shared" si="165"/>
        <v>7.197168212406714</v>
      </c>
      <c r="AD127" s="32">
        <f t="shared" si="165"/>
        <v>7.197168212406714</v>
      </c>
      <c r="AE127" s="32">
        <f t="shared" si="165"/>
        <v>7.197168212406714</v>
      </c>
    </row>
    <row r="128" spans="2:31">
      <c r="B128" s="114" t="s">
        <v>247</v>
      </c>
      <c r="C128" s="54" t="s">
        <v>248</v>
      </c>
      <c r="D128" s="68"/>
      <c r="E128" s="68"/>
      <c r="F128" s="46" t="s">
        <v>249</v>
      </c>
      <c r="G128" s="46" t="s">
        <v>123</v>
      </c>
      <c r="H128" s="47">
        <f t="shared" ref="H128:AE128" si="166">H40-H$21</f>
        <v>-84.880607910447793</v>
      </c>
      <c r="I128" s="47">
        <f t="shared" si="166"/>
        <v>-84.880607910447793</v>
      </c>
      <c r="J128" s="47">
        <f t="shared" si="166"/>
        <v>-84.880607910447793</v>
      </c>
      <c r="K128" s="47">
        <f t="shared" si="166"/>
        <v>-84.880607910447793</v>
      </c>
      <c r="L128" s="47">
        <f t="shared" si="166"/>
        <v>-84.880607910447793</v>
      </c>
      <c r="M128" s="47">
        <f t="shared" si="166"/>
        <v>-84.880607910447793</v>
      </c>
      <c r="N128" s="47">
        <f t="shared" si="166"/>
        <v>-84.880607910447793</v>
      </c>
      <c r="O128" s="47">
        <f t="shared" si="166"/>
        <v>-84.880607910447793</v>
      </c>
      <c r="P128" s="47">
        <f t="shared" si="166"/>
        <v>-84.880607910447793</v>
      </c>
      <c r="Q128" s="47">
        <f t="shared" si="166"/>
        <v>-84.880607910447793</v>
      </c>
      <c r="R128" s="47">
        <f t="shared" si="166"/>
        <v>-84.880607910447793</v>
      </c>
      <c r="S128" s="47">
        <f t="shared" si="166"/>
        <v>-84.880607910447793</v>
      </c>
      <c r="T128" s="47">
        <f t="shared" si="166"/>
        <v>-84.880607910447793</v>
      </c>
      <c r="U128" s="47">
        <f t="shared" si="166"/>
        <v>-84.880607910447793</v>
      </c>
      <c r="V128" s="47">
        <f t="shared" si="166"/>
        <v>-84.880607910447793</v>
      </c>
      <c r="W128" s="47">
        <f t="shared" si="166"/>
        <v>-84.880607910447793</v>
      </c>
      <c r="X128" s="47">
        <f t="shared" si="166"/>
        <v>-84.880607910447793</v>
      </c>
      <c r="Y128" s="47">
        <f t="shared" si="166"/>
        <v>-84.880607910447793</v>
      </c>
      <c r="Z128" s="47">
        <f t="shared" si="166"/>
        <v>-84.880607910447793</v>
      </c>
      <c r="AA128" s="47">
        <f t="shared" si="166"/>
        <v>-84.880607910447793</v>
      </c>
      <c r="AB128" s="47">
        <f t="shared" si="166"/>
        <v>-84.880607910447793</v>
      </c>
      <c r="AC128" s="47">
        <f t="shared" si="166"/>
        <v>-84.880607910447793</v>
      </c>
      <c r="AD128" s="47">
        <f t="shared" si="166"/>
        <v>-84.880607910447793</v>
      </c>
      <c r="AE128" s="47">
        <f t="shared" si="166"/>
        <v>-84.880607910447793</v>
      </c>
    </row>
    <row r="129" spans="2:31">
      <c r="C129" s="24" t="s">
        <v>250</v>
      </c>
      <c r="D129" s="35"/>
      <c r="E129" s="35"/>
      <c r="F129" s="27" t="s">
        <v>251</v>
      </c>
      <c r="G129" s="27" t="s">
        <v>218</v>
      </c>
      <c r="H129" s="32">
        <f t="shared" ref="H129:AE129" si="167">H128*LSFO_LCV</f>
        <v>-3.4546407419552252</v>
      </c>
      <c r="I129" s="32">
        <f t="shared" si="167"/>
        <v>-3.4546407419552252</v>
      </c>
      <c r="J129" s="32">
        <f t="shared" si="167"/>
        <v>-3.4546407419552252</v>
      </c>
      <c r="K129" s="32">
        <f t="shared" si="167"/>
        <v>-3.4546407419552252</v>
      </c>
      <c r="L129" s="32">
        <f t="shared" si="167"/>
        <v>-3.4546407419552252</v>
      </c>
      <c r="M129" s="32">
        <f t="shared" si="167"/>
        <v>-3.4546407419552252</v>
      </c>
      <c r="N129" s="32">
        <f t="shared" si="167"/>
        <v>-3.4546407419552252</v>
      </c>
      <c r="O129" s="32">
        <f t="shared" si="167"/>
        <v>-3.4546407419552252</v>
      </c>
      <c r="P129" s="32">
        <f t="shared" si="167"/>
        <v>-3.4546407419552252</v>
      </c>
      <c r="Q129" s="32">
        <f t="shared" si="167"/>
        <v>-3.4546407419552252</v>
      </c>
      <c r="R129" s="32">
        <f t="shared" si="167"/>
        <v>-3.4546407419552252</v>
      </c>
      <c r="S129" s="32">
        <f t="shared" si="167"/>
        <v>-3.4546407419552252</v>
      </c>
      <c r="T129" s="32">
        <f t="shared" si="167"/>
        <v>-3.4546407419552252</v>
      </c>
      <c r="U129" s="32">
        <f t="shared" si="167"/>
        <v>-3.4546407419552252</v>
      </c>
      <c r="V129" s="32">
        <f t="shared" si="167"/>
        <v>-3.4546407419552252</v>
      </c>
      <c r="W129" s="32">
        <f t="shared" si="167"/>
        <v>-3.4546407419552252</v>
      </c>
      <c r="X129" s="32">
        <f t="shared" si="167"/>
        <v>-3.4546407419552252</v>
      </c>
      <c r="Y129" s="32">
        <f t="shared" si="167"/>
        <v>-3.4546407419552252</v>
      </c>
      <c r="Z129" s="32">
        <f t="shared" si="167"/>
        <v>-3.4546407419552252</v>
      </c>
      <c r="AA129" s="32">
        <f t="shared" si="167"/>
        <v>-3.4546407419552252</v>
      </c>
      <c r="AB129" s="32">
        <f t="shared" si="167"/>
        <v>-3.4546407419552252</v>
      </c>
      <c r="AC129" s="32">
        <f t="shared" si="167"/>
        <v>-3.4546407419552252</v>
      </c>
      <c r="AD129" s="32">
        <f t="shared" si="167"/>
        <v>-3.4546407419552252</v>
      </c>
      <c r="AE129" s="32">
        <f t="shared" si="167"/>
        <v>-3.4546407419552252</v>
      </c>
    </row>
    <row r="130" spans="2:31">
      <c r="C130" s="54" t="s">
        <v>252</v>
      </c>
      <c r="D130" s="68"/>
      <c r="E130" s="68" t="s">
        <v>253</v>
      </c>
      <c r="F130" s="46" t="s">
        <v>254</v>
      </c>
      <c r="G130" s="46" t="s">
        <v>162</v>
      </c>
      <c r="H130" s="47">
        <f t="shared" ref="H130:AE130" si="168">H129*H$16</f>
        <v>0</v>
      </c>
      <c r="I130" s="47">
        <f t="shared" si="168"/>
        <v>0</v>
      </c>
      <c r="J130" s="47">
        <f t="shared" si="168"/>
        <v>0</v>
      </c>
      <c r="K130" s="47">
        <f t="shared" si="168"/>
        <v>0</v>
      </c>
      <c r="L130" s="47">
        <f t="shared" si="168"/>
        <v>0</v>
      </c>
      <c r="M130" s="47">
        <f t="shared" si="168"/>
        <v>0</v>
      </c>
      <c r="N130" s="47">
        <f t="shared" si="168"/>
        <v>0</v>
      </c>
      <c r="O130" s="47">
        <f t="shared" si="168"/>
        <v>0</v>
      </c>
      <c r="P130" s="47">
        <f t="shared" si="168"/>
        <v>0</v>
      </c>
      <c r="Q130" s="47">
        <f t="shared" si="168"/>
        <v>0</v>
      </c>
      <c r="R130" s="47">
        <f t="shared" si="168"/>
        <v>0</v>
      </c>
      <c r="S130" s="47">
        <f t="shared" si="168"/>
        <v>0</v>
      </c>
      <c r="T130" s="47">
        <f t="shared" si="168"/>
        <v>0</v>
      </c>
      <c r="U130" s="47">
        <f t="shared" si="168"/>
        <v>0</v>
      </c>
      <c r="V130" s="47">
        <f t="shared" si="168"/>
        <v>0</v>
      </c>
      <c r="W130" s="47">
        <f t="shared" si="168"/>
        <v>0</v>
      </c>
      <c r="X130" s="47">
        <f t="shared" si="168"/>
        <v>0</v>
      </c>
      <c r="Y130" s="47">
        <f t="shared" si="168"/>
        <v>0</v>
      </c>
      <c r="Z130" s="47">
        <f t="shared" si="168"/>
        <v>0</v>
      </c>
      <c r="AA130" s="47">
        <f t="shared" si="168"/>
        <v>0</v>
      </c>
      <c r="AB130" s="47">
        <f t="shared" si="168"/>
        <v>0</v>
      </c>
      <c r="AC130" s="47">
        <f t="shared" si="168"/>
        <v>0</v>
      </c>
      <c r="AD130" s="47">
        <f t="shared" si="168"/>
        <v>0</v>
      </c>
      <c r="AE130" s="47">
        <f t="shared" si="168"/>
        <v>0</v>
      </c>
    </row>
    <row r="131" spans="2:31">
      <c r="B131" s="114" t="s">
        <v>223</v>
      </c>
      <c r="C131" s="30" t="s">
        <v>98</v>
      </c>
      <c r="D131" s="36"/>
      <c r="E131" s="35" t="s">
        <v>224</v>
      </c>
      <c r="F131" s="27"/>
      <c r="G131" s="69" t="s">
        <v>162</v>
      </c>
      <c r="H131" s="95">
        <f t="shared" ref="H131:AE131" si="169">H44*LSFO_LCV*1000</f>
        <v>1699.9999999999998</v>
      </c>
      <c r="I131" s="95">
        <f t="shared" si="169"/>
        <v>1699.9999999999998</v>
      </c>
      <c r="J131" s="95">
        <f t="shared" si="169"/>
        <v>1699.9999999999998</v>
      </c>
      <c r="K131" s="95">
        <f t="shared" si="169"/>
        <v>1699.9999999999998</v>
      </c>
      <c r="L131" s="95">
        <f t="shared" si="169"/>
        <v>1699.9999999999998</v>
      </c>
      <c r="M131" s="95">
        <f t="shared" si="169"/>
        <v>1699.9999999999998</v>
      </c>
      <c r="N131" s="95">
        <f t="shared" si="169"/>
        <v>1699.9999999999998</v>
      </c>
      <c r="O131" s="95">
        <f t="shared" si="169"/>
        <v>1699.9999999999998</v>
      </c>
      <c r="P131" s="95">
        <f t="shared" si="169"/>
        <v>1699.9999999999998</v>
      </c>
      <c r="Q131" s="95">
        <f t="shared" si="169"/>
        <v>1699.9999999999998</v>
      </c>
      <c r="R131" s="95">
        <f t="shared" si="169"/>
        <v>1699.9999999999998</v>
      </c>
      <c r="S131" s="95">
        <f t="shared" si="169"/>
        <v>1699.9999999999998</v>
      </c>
      <c r="T131" s="95">
        <f t="shared" si="169"/>
        <v>1699.9999999999998</v>
      </c>
      <c r="U131" s="95">
        <f t="shared" si="169"/>
        <v>1699.9999999999998</v>
      </c>
      <c r="V131" s="95">
        <f t="shared" si="169"/>
        <v>1699.9999999999998</v>
      </c>
      <c r="W131" s="95">
        <f t="shared" si="169"/>
        <v>1699.9999999999998</v>
      </c>
      <c r="X131" s="95">
        <f t="shared" si="169"/>
        <v>1699.9999999999998</v>
      </c>
      <c r="Y131" s="95">
        <f t="shared" si="169"/>
        <v>1699.9999999999998</v>
      </c>
      <c r="Z131" s="95">
        <f t="shared" si="169"/>
        <v>1699.9999999999998</v>
      </c>
      <c r="AA131" s="95">
        <f t="shared" si="169"/>
        <v>1699.9999999999998</v>
      </c>
      <c r="AB131" s="95">
        <f t="shared" si="169"/>
        <v>1699.9999999999998</v>
      </c>
      <c r="AC131" s="95">
        <f t="shared" si="169"/>
        <v>1699.9999999999998</v>
      </c>
      <c r="AD131" s="95">
        <f t="shared" si="169"/>
        <v>1699.9999999999998</v>
      </c>
      <c r="AE131" s="95">
        <f t="shared" si="169"/>
        <v>1699.9999999999998</v>
      </c>
    </row>
    <row r="132" spans="2:31">
      <c r="C132" s="126" t="s">
        <v>104</v>
      </c>
      <c r="D132" s="127"/>
      <c r="E132" s="68" t="s">
        <v>255</v>
      </c>
      <c r="F132" s="46"/>
      <c r="G132" s="128" t="s">
        <v>162</v>
      </c>
      <c r="H132" s="145">
        <f>H123</f>
        <v>0</v>
      </c>
      <c r="I132" s="145">
        <f t="shared" ref="I132:AE132" si="170">I123</f>
        <v>0</v>
      </c>
      <c r="J132" s="145">
        <f t="shared" si="170"/>
        <v>0</v>
      </c>
      <c r="K132" s="145">
        <f t="shared" si="170"/>
        <v>0</v>
      </c>
      <c r="L132" s="145">
        <f t="shared" si="170"/>
        <v>0</v>
      </c>
      <c r="M132" s="145">
        <f t="shared" si="170"/>
        <v>0</v>
      </c>
      <c r="N132" s="145">
        <f t="shared" si="170"/>
        <v>0</v>
      </c>
      <c r="O132" s="145">
        <f t="shared" si="170"/>
        <v>0</v>
      </c>
      <c r="P132" s="145">
        <f t="shared" si="170"/>
        <v>0</v>
      </c>
      <c r="Q132" s="145">
        <f t="shared" si="170"/>
        <v>0</v>
      </c>
      <c r="R132" s="145">
        <f t="shared" si="170"/>
        <v>0</v>
      </c>
      <c r="S132" s="145">
        <f t="shared" si="170"/>
        <v>0</v>
      </c>
      <c r="T132" s="145">
        <f t="shared" si="170"/>
        <v>0</v>
      </c>
      <c r="U132" s="145">
        <f t="shared" si="170"/>
        <v>0</v>
      </c>
      <c r="V132" s="145">
        <f t="shared" si="170"/>
        <v>0</v>
      </c>
      <c r="W132" s="145">
        <f t="shared" si="170"/>
        <v>0</v>
      </c>
      <c r="X132" s="145">
        <f t="shared" si="170"/>
        <v>0</v>
      </c>
      <c r="Y132" s="145">
        <f t="shared" si="170"/>
        <v>0</v>
      </c>
      <c r="Z132" s="145">
        <f t="shared" si="170"/>
        <v>0</v>
      </c>
      <c r="AA132" s="145">
        <f t="shared" si="170"/>
        <v>0</v>
      </c>
      <c r="AB132" s="145">
        <f t="shared" si="170"/>
        <v>0</v>
      </c>
      <c r="AC132" s="145">
        <f t="shared" si="170"/>
        <v>46.061876559403032</v>
      </c>
      <c r="AD132" s="145">
        <f t="shared" si="170"/>
        <v>115.15469139850757</v>
      </c>
      <c r="AE132" s="145">
        <f t="shared" si="170"/>
        <v>184.24750623761184</v>
      </c>
    </row>
    <row r="133" spans="2:31">
      <c r="C133" s="30" t="s">
        <v>108</v>
      </c>
      <c r="D133" s="36"/>
      <c r="E133" s="35"/>
      <c r="F133" s="27"/>
      <c r="G133" s="69" t="s">
        <v>162</v>
      </c>
      <c r="H133" s="95">
        <f>H125</f>
        <v>-705.75585440434384</v>
      </c>
      <c r="I133" s="95">
        <f t="shared" ref="I133:AE133" si="171">I125</f>
        <v>-746.83429402360821</v>
      </c>
      <c r="J133" s="95">
        <f t="shared" si="171"/>
        <v>-796.75298993235901</v>
      </c>
      <c r="K133" s="95">
        <f t="shared" si="171"/>
        <v>-827.43159174913353</v>
      </c>
      <c r="L133" s="95">
        <f t="shared" si="171"/>
        <v>-824.63056936890098</v>
      </c>
      <c r="M133" s="95">
        <f t="shared" si="171"/>
        <v>-808.95516809109085</v>
      </c>
      <c r="N133" s="95">
        <f t="shared" si="171"/>
        <v>-785.70943658076203</v>
      </c>
      <c r="O133" s="95">
        <f t="shared" si="171"/>
        <v>-754.89337483791405</v>
      </c>
      <c r="P133" s="95">
        <f t="shared" si="171"/>
        <v>-723.53156112590534</v>
      </c>
      <c r="Q133" s="95">
        <f t="shared" si="171"/>
        <v>-673.49773432786856</v>
      </c>
      <c r="R133" s="95">
        <f t="shared" si="171"/>
        <v>-615.48065019372109</v>
      </c>
      <c r="S133" s="95">
        <f t="shared" si="171"/>
        <v>-549.48030872346249</v>
      </c>
      <c r="T133" s="95">
        <f t="shared" si="171"/>
        <v>-475.49670991709303</v>
      </c>
      <c r="U133" s="95">
        <f t="shared" si="171"/>
        <v>-393.52985377461277</v>
      </c>
      <c r="V133" s="95">
        <f t="shared" si="171"/>
        <v>-351.70782973779569</v>
      </c>
      <c r="W133" s="95">
        <f t="shared" si="171"/>
        <v>-305.92367182603658</v>
      </c>
      <c r="X133" s="95">
        <f t="shared" si="171"/>
        <v>-256.17738003933601</v>
      </c>
      <c r="Y133" s="95">
        <f t="shared" si="171"/>
        <v>-202.46895437769351</v>
      </c>
      <c r="Z133" s="95">
        <f t="shared" si="171"/>
        <v>-144.79839484110983</v>
      </c>
      <c r="AA133" s="95">
        <f t="shared" si="171"/>
        <v>-85.29815531239386</v>
      </c>
      <c r="AB133" s="95">
        <f t="shared" si="171"/>
        <v>-21.963592678895495</v>
      </c>
      <c r="AC133" s="95">
        <f t="shared" si="171"/>
        <v>0</v>
      </c>
      <c r="AD133" s="95">
        <f t="shared" si="171"/>
        <v>0</v>
      </c>
      <c r="AE133" s="95">
        <f t="shared" si="171"/>
        <v>0</v>
      </c>
    </row>
    <row r="134" spans="2:31">
      <c r="C134" s="131" t="s">
        <v>112</v>
      </c>
      <c r="D134" s="146"/>
      <c r="E134" s="68"/>
      <c r="F134" s="46"/>
      <c r="G134" s="128" t="s">
        <v>162</v>
      </c>
      <c r="H134" s="145">
        <f>H130</f>
        <v>0</v>
      </c>
      <c r="I134" s="145">
        <f t="shared" ref="I134:AE134" si="172">I130</f>
        <v>0</v>
      </c>
      <c r="J134" s="145">
        <f t="shared" si="172"/>
        <v>0</v>
      </c>
      <c r="K134" s="145">
        <f t="shared" si="172"/>
        <v>0</v>
      </c>
      <c r="L134" s="145">
        <f t="shared" si="172"/>
        <v>0</v>
      </c>
      <c r="M134" s="145">
        <f t="shared" si="172"/>
        <v>0</v>
      </c>
      <c r="N134" s="145">
        <f t="shared" si="172"/>
        <v>0</v>
      </c>
      <c r="O134" s="145">
        <f t="shared" si="172"/>
        <v>0</v>
      </c>
      <c r="P134" s="145">
        <f t="shared" si="172"/>
        <v>0</v>
      </c>
      <c r="Q134" s="145">
        <f t="shared" si="172"/>
        <v>0</v>
      </c>
      <c r="R134" s="145">
        <f t="shared" si="172"/>
        <v>0</v>
      </c>
      <c r="S134" s="145">
        <f t="shared" si="172"/>
        <v>0</v>
      </c>
      <c r="T134" s="145">
        <f t="shared" si="172"/>
        <v>0</v>
      </c>
      <c r="U134" s="145">
        <f t="shared" si="172"/>
        <v>0</v>
      </c>
      <c r="V134" s="145">
        <f t="shared" si="172"/>
        <v>0</v>
      </c>
      <c r="W134" s="145">
        <f t="shared" si="172"/>
        <v>0</v>
      </c>
      <c r="X134" s="145">
        <f t="shared" si="172"/>
        <v>0</v>
      </c>
      <c r="Y134" s="145">
        <f t="shared" si="172"/>
        <v>0</v>
      </c>
      <c r="Z134" s="145">
        <f t="shared" si="172"/>
        <v>0</v>
      </c>
      <c r="AA134" s="145">
        <f t="shared" si="172"/>
        <v>0</v>
      </c>
      <c r="AB134" s="145">
        <f t="shared" si="172"/>
        <v>0</v>
      </c>
      <c r="AC134" s="145">
        <f t="shared" si="172"/>
        <v>0</v>
      </c>
      <c r="AD134" s="145">
        <f t="shared" si="172"/>
        <v>0</v>
      </c>
      <c r="AE134" s="145">
        <f t="shared" si="172"/>
        <v>0</v>
      </c>
    </row>
    <row r="135" spans="2:31" ht="15.75" thickBot="1">
      <c r="C135" s="141" t="s">
        <v>107</v>
      </c>
      <c r="D135" s="142"/>
      <c r="E135" s="143"/>
      <c r="F135" s="144"/>
      <c r="G135" s="134" t="s">
        <v>162</v>
      </c>
      <c r="H135" s="96">
        <f>H127</f>
        <v>7.197168212406714</v>
      </c>
      <c r="I135" s="96">
        <f t="shared" ref="I135:AE135" si="173">I127</f>
        <v>7.197168212406714</v>
      </c>
      <c r="J135" s="96">
        <f t="shared" si="173"/>
        <v>7.197168212406714</v>
      </c>
      <c r="K135" s="96">
        <f t="shared" si="173"/>
        <v>7.197168212406714</v>
      </c>
      <c r="L135" s="96">
        <f t="shared" si="173"/>
        <v>7.197168212406714</v>
      </c>
      <c r="M135" s="96">
        <f t="shared" si="173"/>
        <v>7.197168212406714</v>
      </c>
      <c r="N135" s="96">
        <f t="shared" si="173"/>
        <v>7.197168212406714</v>
      </c>
      <c r="O135" s="96">
        <f t="shared" si="173"/>
        <v>7.197168212406714</v>
      </c>
      <c r="P135" s="96">
        <f t="shared" si="173"/>
        <v>7.197168212406714</v>
      </c>
      <c r="Q135" s="96">
        <f t="shared" si="173"/>
        <v>7.197168212406714</v>
      </c>
      <c r="R135" s="96">
        <f t="shared" si="173"/>
        <v>7.197168212406714</v>
      </c>
      <c r="S135" s="96">
        <f t="shared" si="173"/>
        <v>7.197168212406714</v>
      </c>
      <c r="T135" s="96">
        <f t="shared" si="173"/>
        <v>7.197168212406714</v>
      </c>
      <c r="U135" s="96">
        <f t="shared" si="173"/>
        <v>7.197168212406714</v>
      </c>
      <c r="V135" s="96">
        <f t="shared" si="173"/>
        <v>7.197168212406714</v>
      </c>
      <c r="W135" s="96">
        <f t="shared" si="173"/>
        <v>7.197168212406714</v>
      </c>
      <c r="X135" s="96">
        <f t="shared" si="173"/>
        <v>7.197168212406714</v>
      </c>
      <c r="Y135" s="96">
        <f t="shared" si="173"/>
        <v>7.197168212406714</v>
      </c>
      <c r="Z135" s="96">
        <f t="shared" si="173"/>
        <v>7.197168212406714</v>
      </c>
      <c r="AA135" s="96">
        <f t="shared" si="173"/>
        <v>7.197168212406714</v>
      </c>
      <c r="AB135" s="96">
        <f t="shared" si="173"/>
        <v>7.197168212406714</v>
      </c>
      <c r="AC135" s="96">
        <f t="shared" si="173"/>
        <v>7.197168212406714</v>
      </c>
      <c r="AD135" s="96">
        <f t="shared" si="173"/>
        <v>7.197168212406714</v>
      </c>
      <c r="AE135" s="96">
        <f t="shared" si="173"/>
        <v>7.197168212406714</v>
      </c>
    </row>
    <row r="136" spans="2:31" ht="15.75" thickTop="1">
      <c r="C136" s="131" t="s">
        <v>115</v>
      </c>
      <c r="D136" s="147"/>
      <c r="E136" s="68"/>
      <c r="F136" s="46" t="s">
        <v>226</v>
      </c>
      <c r="G136" s="128" t="s">
        <v>162</v>
      </c>
      <c r="H136" s="145">
        <f>SUM(H131:H135)</f>
        <v>1001.4413138080627</v>
      </c>
      <c r="I136" s="145">
        <f t="shared" ref="I136:AE136" si="174">SUM(I131:I135)</f>
        <v>960.36287418879829</v>
      </c>
      <c r="J136" s="145">
        <f t="shared" si="174"/>
        <v>910.44417828004748</v>
      </c>
      <c r="K136" s="145">
        <f t="shared" si="174"/>
        <v>879.76557646327296</v>
      </c>
      <c r="L136" s="145">
        <f t="shared" si="174"/>
        <v>882.56659884350552</v>
      </c>
      <c r="M136" s="145">
        <f t="shared" si="174"/>
        <v>898.24200012131564</v>
      </c>
      <c r="N136" s="145">
        <f t="shared" si="174"/>
        <v>921.48773163164446</v>
      </c>
      <c r="O136" s="145">
        <f t="shared" si="174"/>
        <v>952.30379337449244</v>
      </c>
      <c r="P136" s="145">
        <f t="shared" si="174"/>
        <v>983.66560708650115</v>
      </c>
      <c r="Q136" s="145">
        <f t="shared" si="174"/>
        <v>1033.6994338845379</v>
      </c>
      <c r="R136" s="145">
        <f t="shared" si="174"/>
        <v>1091.7165180186853</v>
      </c>
      <c r="S136" s="145">
        <f t="shared" si="174"/>
        <v>1157.716859488944</v>
      </c>
      <c r="T136" s="145">
        <f t="shared" si="174"/>
        <v>1231.7004582953134</v>
      </c>
      <c r="U136" s="145">
        <f t="shared" si="174"/>
        <v>1313.6673144377937</v>
      </c>
      <c r="V136" s="145">
        <f t="shared" si="174"/>
        <v>1355.4893384746108</v>
      </c>
      <c r="W136" s="145">
        <f t="shared" si="174"/>
        <v>1401.27349638637</v>
      </c>
      <c r="X136" s="145">
        <f t="shared" si="174"/>
        <v>1451.0197881730705</v>
      </c>
      <c r="Y136" s="145">
        <f t="shared" si="174"/>
        <v>1504.728213834713</v>
      </c>
      <c r="Z136" s="145">
        <f t="shared" si="174"/>
        <v>1562.3987733712966</v>
      </c>
      <c r="AA136" s="145">
        <f t="shared" si="174"/>
        <v>1621.8990129000126</v>
      </c>
      <c r="AB136" s="145">
        <f t="shared" si="174"/>
        <v>1685.2335755335109</v>
      </c>
      <c r="AC136" s="145">
        <f t="shared" si="174"/>
        <v>1753.2590447718096</v>
      </c>
      <c r="AD136" s="145">
        <f t="shared" si="174"/>
        <v>1822.3518596109141</v>
      </c>
      <c r="AE136" s="145">
        <f t="shared" si="174"/>
        <v>1891.4446744500183</v>
      </c>
    </row>
    <row r="137" spans="2:31">
      <c r="J137" s="3"/>
      <c r="K137" s="3"/>
      <c r="L137" s="3"/>
      <c r="M137" s="3"/>
    </row>
    <row r="138" spans="2:31">
      <c r="J138" s="3"/>
      <c r="K138" s="3"/>
      <c r="L138" s="3"/>
      <c r="M138" s="3"/>
      <c r="N138" s="3"/>
      <c r="O138" s="3"/>
      <c r="P138" s="3"/>
      <c r="Q138" s="3"/>
      <c r="R138" s="3"/>
      <c r="S138" s="3"/>
      <c r="T138" s="3"/>
      <c r="U138" s="3"/>
      <c r="V138" s="3"/>
      <c r="W138" s="3"/>
      <c r="X138" s="3"/>
      <c r="Y138" s="3"/>
      <c r="Z138" s="3"/>
      <c r="AA138" s="3"/>
      <c r="AB138" s="3"/>
      <c r="AC138" s="3"/>
    </row>
    <row r="139" spans="2:31">
      <c r="J139" s="3"/>
      <c r="K139" s="3"/>
      <c r="L139" s="3"/>
      <c r="M139" s="3"/>
      <c r="N139" s="3"/>
      <c r="O139" s="3"/>
      <c r="P139" s="3"/>
      <c r="Q139" s="3"/>
      <c r="R139" s="3"/>
      <c r="S139" s="3"/>
      <c r="T139" s="3"/>
      <c r="U139" s="3"/>
      <c r="V139" s="3"/>
      <c r="W139" s="3"/>
      <c r="X139" s="3"/>
      <c r="Y139" s="3"/>
      <c r="Z139" s="3"/>
      <c r="AA139" s="3"/>
      <c r="AB139" s="3"/>
      <c r="AC139" s="3"/>
    </row>
    <row r="140" spans="2:31">
      <c r="J140" s="3"/>
      <c r="K140" s="3"/>
      <c r="L140" s="3"/>
      <c r="M140" s="3"/>
      <c r="N140" s="3"/>
      <c r="O140" s="3"/>
      <c r="P140" s="3"/>
      <c r="Q140" s="3"/>
      <c r="R140" s="3"/>
      <c r="S140" s="3"/>
      <c r="T140" s="3"/>
      <c r="U140" s="3"/>
      <c r="V140" s="3"/>
      <c r="W140" s="3"/>
      <c r="X140" s="3"/>
      <c r="Y140" s="3"/>
      <c r="Z140" s="3"/>
      <c r="AA140" s="3"/>
      <c r="AB140" s="3"/>
      <c r="AC140" s="3"/>
    </row>
    <row r="141" spans="2:31">
      <c r="J141" s="3"/>
      <c r="K141" s="3"/>
      <c r="L141" s="3"/>
      <c r="M141" s="3"/>
      <c r="N141" s="3"/>
      <c r="O141" s="3"/>
      <c r="P141" s="3"/>
      <c r="Q141" s="3"/>
      <c r="R141" s="3"/>
      <c r="S141" s="3"/>
      <c r="T141" s="3"/>
      <c r="U141" s="3"/>
      <c r="V141" s="3"/>
      <c r="W141" s="3"/>
      <c r="X141" s="3"/>
      <c r="Y141" s="3"/>
      <c r="Z141" s="3"/>
      <c r="AA141" s="3"/>
      <c r="AB141" s="3"/>
      <c r="AC141" s="3"/>
    </row>
    <row r="142" spans="2:31">
      <c r="J142" s="3"/>
      <c r="K142" s="3"/>
      <c r="L142" s="3"/>
      <c r="M142" s="3"/>
      <c r="N142" s="3"/>
      <c r="O142" s="3"/>
      <c r="P142" s="3"/>
      <c r="Q142" s="3"/>
      <c r="R142" s="3"/>
      <c r="S142" s="3"/>
      <c r="T142" s="3"/>
      <c r="U142" s="3"/>
      <c r="V142" s="3"/>
      <c r="W142" s="3"/>
      <c r="X142" s="3"/>
      <c r="Y142" s="3"/>
      <c r="Z142" s="3"/>
      <c r="AA142" s="3"/>
      <c r="AB142" s="3"/>
      <c r="AC142" s="3"/>
    </row>
    <row r="143" spans="2:31">
      <c r="J143" s="3"/>
      <c r="K143" s="3"/>
      <c r="L143" s="3"/>
      <c r="M143" s="3"/>
      <c r="N143" s="3"/>
      <c r="O143" s="3"/>
      <c r="P143" s="3"/>
      <c r="Q143" s="3"/>
      <c r="R143" s="3"/>
      <c r="S143" s="3"/>
      <c r="T143" s="3"/>
      <c r="U143" s="3"/>
      <c r="V143" s="3"/>
      <c r="W143" s="3"/>
      <c r="X143" s="3"/>
      <c r="Y143" s="3"/>
      <c r="Z143" s="3"/>
      <c r="AA143" s="3"/>
      <c r="AB143" s="3"/>
      <c r="AC143" s="3"/>
    </row>
    <row r="144" spans="2:31">
      <c r="J144" s="3"/>
      <c r="K144" s="3"/>
      <c r="L144" s="3"/>
      <c r="M144" s="3"/>
      <c r="N144" s="3"/>
      <c r="O144" s="3"/>
      <c r="P144" s="3"/>
      <c r="Q144" s="3"/>
      <c r="R144" s="3"/>
      <c r="S144" s="3"/>
      <c r="T144" s="3"/>
      <c r="U144" s="3"/>
      <c r="V144" s="3"/>
      <c r="W144" s="3"/>
      <c r="X144" s="3"/>
      <c r="Y144" s="3"/>
      <c r="Z144" s="3"/>
      <c r="AA144" s="3"/>
      <c r="AB144" s="3"/>
      <c r="AC144" s="3"/>
    </row>
    <row r="145" spans="10:29">
      <c r="J145" s="3"/>
      <c r="K145" s="3"/>
      <c r="L145" s="3"/>
      <c r="M145" s="3"/>
      <c r="N145" s="3"/>
      <c r="O145" s="3"/>
      <c r="P145" s="3"/>
      <c r="Q145" s="3"/>
      <c r="R145" s="3"/>
      <c r="S145" s="3"/>
      <c r="T145" s="3"/>
      <c r="U145" s="3"/>
      <c r="V145" s="3"/>
      <c r="W145" s="3"/>
      <c r="X145" s="3"/>
      <c r="Y145" s="3"/>
      <c r="Z145" s="3"/>
      <c r="AA145" s="3"/>
      <c r="AB145" s="3"/>
      <c r="AC145" s="3"/>
    </row>
    <row r="146" spans="10:29">
      <c r="J146" s="3"/>
      <c r="K146" s="3"/>
      <c r="L146" s="3"/>
      <c r="M146" s="3"/>
      <c r="N146" s="3"/>
      <c r="O146" s="3"/>
      <c r="P146" s="3"/>
      <c r="Q146" s="3"/>
      <c r="R146" s="3"/>
      <c r="S146" s="3"/>
      <c r="T146" s="3"/>
      <c r="U146" s="3"/>
      <c r="V146" s="3"/>
      <c r="W146" s="3"/>
      <c r="X146" s="3"/>
      <c r="Y146" s="3"/>
      <c r="Z146" s="3"/>
      <c r="AA146" s="3"/>
      <c r="AB146" s="3"/>
      <c r="AC146" s="3"/>
    </row>
    <row r="147" spans="10:29">
      <c r="J147" s="3"/>
      <c r="K147" s="3"/>
      <c r="L147" s="3"/>
      <c r="M147" s="3"/>
      <c r="N147" s="3"/>
      <c r="O147" s="3"/>
      <c r="P147" s="3"/>
      <c r="Q147" s="3"/>
      <c r="R147" s="3"/>
      <c r="S147" s="3"/>
      <c r="T147" s="3"/>
      <c r="U147" s="3"/>
      <c r="V147" s="3"/>
      <c r="W147" s="3"/>
      <c r="X147" s="3"/>
      <c r="Y147" s="3"/>
      <c r="Z147" s="3"/>
      <c r="AA147" s="3"/>
      <c r="AB147" s="3"/>
      <c r="AC147" s="3"/>
    </row>
    <row r="148" spans="10:29">
      <c r="J148" s="3"/>
      <c r="K148" s="3"/>
      <c r="L148" s="3"/>
      <c r="M148" s="3"/>
      <c r="N148" s="3"/>
      <c r="O148" s="3"/>
      <c r="P148" s="3"/>
      <c r="Q148" s="3"/>
      <c r="R148" s="3"/>
      <c r="S148" s="3"/>
      <c r="T148" s="3"/>
      <c r="U148" s="3"/>
      <c r="V148" s="3"/>
      <c r="W148" s="3"/>
      <c r="X148" s="3"/>
      <c r="Y148" s="3"/>
      <c r="Z148" s="3"/>
      <c r="AA148" s="3"/>
      <c r="AB148" s="3"/>
      <c r="AC148" s="3"/>
    </row>
    <row r="149" spans="10:29">
      <c r="J149" s="3"/>
      <c r="K149" s="3"/>
      <c r="L149" s="3"/>
      <c r="M149" s="3"/>
      <c r="N149" s="3"/>
      <c r="O149" s="3"/>
      <c r="P149" s="3"/>
      <c r="Q149" s="3"/>
      <c r="R149" s="3"/>
      <c r="S149" s="3"/>
      <c r="T149" s="3"/>
      <c r="U149" s="3"/>
      <c r="V149" s="3"/>
      <c r="W149" s="3"/>
      <c r="X149" s="3"/>
      <c r="Y149" s="3"/>
      <c r="Z149" s="3"/>
      <c r="AA149" s="3"/>
      <c r="AB149" s="3"/>
      <c r="AC149" s="3"/>
    </row>
    <row r="150" spans="10:29">
      <c r="J150" s="3"/>
      <c r="K150" s="3"/>
      <c r="L150" s="3"/>
      <c r="M150" s="3"/>
      <c r="N150" s="3"/>
      <c r="O150" s="3"/>
      <c r="P150" s="3"/>
      <c r="Q150" s="3"/>
      <c r="R150" s="3"/>
      <c r="S150" s="3"/>
      <c r="T150" s="3"/>
      <c r="U150" s="3"/>
      <c r="V150" s="3"/>
      <c r="W150" s="3"/>
      <c r="X150" s="3"/>
      <c r="Y150" s="3"/>
      <c r="Z150" s="3"/>
      <c r="AA150" s="3"/>
      <c r="AB150" s="3"/>
      <c r="AC150" s="3"/>
    </row>
    <row r="151" spans="10:29">
      <c r="J151" s="3"/>
      <c r="K151" s="3"/>
      <c r="L151" s="3"/>
      <c r="M151" s="3"/>
      <c r="N151" s="3"/>
      <c r="O151" s="3"/>
      <c r="P151" s="3"/>
      <c r="Q151" s="3"/>
      <c r="R151" s="3"/>
      <c r="S151" s="3"/>
      <c r="T151" s="3"/>
      <c r="U151" s="3"/>
      <c r="V151" s="3"/>
      <c r="W151" s="3"/>
      <c r="X151" s="3"/>
      <c r="Y151" s="3"/>
      <c r="Z151" s="3"/>
      <c r="AA151" s="3"/>
      <c r="AB151" s="3"/>
      <c r="AC151" s="3"/>
    </row>
    <row r="152" spans="10:29">
      <c r="J152" s="3"/>
      <c r="K152" s="3"/>
      <c r="L152" s="3"/>
      <c r="M152" s="3"/>
      <c r="N152" s="3"/>
      <c r="O152" s="3"/>
      <c r="P152" s="3"/>
      <c r="Q152" s="3"/>
      <c r="R152" s="3"/>
      <c r="S152" s="3"/>
      <c r="T152" s="3"/>
      <c r="U152" s="3"/>
      <c r="V152" s="3"/>
      <c r="W152" s="3"/>
      <c r="X152" s="3"/>
      <c r="Y152" s="3"/>
      <c r="Z152" s="3"/>
      <c r="AA152" s="3"/>
      <c r="AB152" s="3"/>
      <c r="AC152" s="3"/>
    </row>
    <row r="153" spans="10:29">
      <c r="J153" s="3"/>
      <c r="K153" s="3"/>
      <c r="L153" s="3"/>
      <c r="M153" s="3"/>
      <c r="N153" s="3"/>
      <c r="O153" s="3"/>
      <c r="P153" s="3"/>
      <c r="Q153" s="3"/>
      <c r="R153" s="3"/>
      <c r="S153" s="3"/>
      <c r="T153" s="3"/>
      <c r="U153" s="3"/>
      <c r="V153" s="3"/>
      <c r="W153" s="3"/>
      <c r="X153" s="3"/>
      <c r="Y153" s="3"/>
      <c r="Z153" s="3"/>
      <c r="AA153" s="3"/>
      <c r="AB153" s="3"/>
      <c r="AC153" s="3"/>
    </row>
    <row r="154" spans="10:29">
      <c r="J154" s="3"/>
      <c r="K154" s="3"/>
      <c r="L154" s="3"/>
      <c r="M154" s="3"/>
      <c r="N154" s="3"/>
      <c r="O154" s="3"/>
      <c r="P154" s="3"/>
      <c r="Q154" s="3"/>
      <c r="R154" s="3"/>
      <c r="S154" s="3"/>
      <c r="T154" s="3"/>
      <c r="U154" s="3"/>
      <c r="V154" s="3"/>
      <c r="W154" s="3"/>
      <c r="X154" s="3"/>
      <c r="Y154" s="3"/>
      <c r="Z154" s="3"/>
      <c r="AA154" s="3"/>
      <c r="AB154" s="3"/>
      <c r="AC154" s="3"/>
    </row>
    <row r="155" spans="10:29">
      <c r="J155" s="3"/>
      <c r="K155" s="3"/>
      <c r="L155" s="3"/>
      <c r="M155" s="3"/>
      <c r="N155" s="3"/>
      <c r="O155" s="3"/>
      <c r="P155" s="3"/>
      <c r="Q155" s="3"/>
      <c r="R155" s="3"/>
      <c r="S155" s="3"/>
      <c r="T155" s="3"/>
      <c r="U155" s="3"/>
      <c r="V155" s="3"/>
      <c r="W155" s="3"/>
      <c r="X155" s="3"/>
      <c r="Y155" s="3"/>
      <c r="Z155" s="3"/>
      <c r="AA155" s="3"/>
      <c r="AB155" s="3"/>
      <c r="AC155" s="3"/>
    </row>
    <row r="156" spans="10:29">
      <c r="J156" s="3"/>
      <c r="K156" s="3"/>
      <c r="L156" s="3"/>
      <c r="M156" s="3"/>
      <c r="N156" s="3"/>
      <c r="O156" s="3"/>
      <c r="P156" s="3"/>
      <c r="Q156" s="3"/>
      <c r="R156" s="3"/>
      <c r="S156" s="3"/>
      <c r="T156" s="3"/>
      <c r="U156" s="3"/>
      <c r="V156" s="3"/>
      <c r="W156" s="3"/>
      <c r="X156" s="3"/>
      <c r="Y156" s="3"/>
      <c r="Z156" s="3"/>
      <c r="AA156" s="3"/>
      <c r="AB156" s="3"/>
      <c r="AC156" s="3"/>
    </row>
    <row r="157" spans="10:29">
      <c r="J157" s="3"/>
      <c r="K157" s="3"/>
      <c r="L157" s="3"/>
      <c r="M157" s="3"/>
      <c r="N157" s="3"/>
      <c r="O157" s="3"/>
      <c r="P157" s="3"/>
      <c r="Q157" s="3"/>
      <c r="R157" s="3"/>
      <c r="S157" s="3"/>
      <c r="T157" s="3"/>
      <c r="U157" s="3"/>
      <c r="V157" s="3"/>
      <c r="W157" s="3"/>
      <c r="X157" s="3"/>
      <c r="Y157" s="3"/>
      <c r="Z157" s="3"/>
      <c r="AA157" s="3"/>
      <c r="AB157" s="3"/>
      <c r="AC157" s="3"/>
    </row>
    <row r="158" spans="10:29">
      <c r="J158" s="3"/>
      <c r="K158" s="3"/>
      <c r="L158" s="3"/>
      <c r="M158" s="3"/>
      <c r="N158" s="3"/>
      <c r="O158" s="3"/>
      <c r="P158" s="3"/>
      <c r="Q158" s="3"/>
      <c r="R158" s="3"/>
      <c r="S158" s="3"/>
      <c r="T158" s="3"/>
      <c r="U158" s="3"/>
      <c r="V158" s="3"/>
      <c r="W158" s="3"/>
      <c r="X158" s="3"/>
      <c r="Y158" s="3"/>
      <c r="Z158" s="3"/>
      <c r="AA158" s="3"/>
      <c r="AB158" s="3"/>
      <c r="AC158" s="3"/>
    </row>
    <row r="159" spans="10:29">
      <c r="J159" s="3"/>
      <c r="K159" s="3"/>
      <c r="L159" s="3"/>
      <c r="M159" s="3"/>
      <c r="N159" s="3"/>
      <c r="O159" s="3"/>
      <c r="P159" s="3"/>
      <c r="Q159" s="3"/>
      <c r="R159" s="3"/>
      <c r="S159" s="3"/>
      <c r="T159" s="3"/>
      <c r="U159" s="3"/>
      <c r="V159" s="3"/>
      <c r="W159" s="3"/>
      <c r="X159" s="3"/>
      <c r="Y159" s="3"/>
      <c r="Z159" s="3"/>
      <c r="AA159" s="3"/>
      <c r="AB159" s="3"/>
      <c r="AC159" s="3"/>
    </row>
    <row r="160" spans="10:29">
      <c r="J160" s="3"/>
      <c r="K160" s="3"/>
      <c r="L160" s="3"/>
      <c r="M160" s="3"/>
      <c r="N160" s="3"/>
      <c r="O160" s="3"/>
      <c r="P160" s="3"/>
      <c r="Q160" s="3"/>
      <c r="R160" s="3"/>
      <c r="S160" s="3"/>
      <c r="T160" s="3"/>
      <c r="U160" s="3"/>
      <c r="V160" s="3"/>
      <c r="W160" s="3"/>
      <c r="X160" s="3"/>
      <c r="Y160" s="3"/>
      <c r="Z160" s="3"/>
      <c r="AA160" s="3"/>
      <c r="AB160" s="3"/>
      <c r="AC160" s="3"/>
    </row>
    <row r="161" spans="10:29">
      <c r="J161" s="3"/>
      <c r="K161" s="3"/>
      <c r="L161" s="3"/>
      <c r="M161" s="3"/>
      <c r="N161" s="3"/>
      <c r="O161" s="3"/>
      <c r="P161" s="3"/>
      <c r="Q161" s="3"/>
      <c r="R161" s="3"/>
      <c r="S161" s="3"/>
      <c r="T161" s="3"/>
      <c r="U161" s="3"/>
      <c r="V161" s="3"/>
      <c r="W161" s="3"/>
      <c r="X161" s="3"/>
      <c r="Y161" s="3"/>
      <c r="Z161" s="3"/>
      <c r="AA161" s="3"/>
      <c r="AB161" s="3"/>
      <c r="AC161" s="3"/>
    </row>
    <row r="162" spans="10:29">
      <c r="J162" s="3"/>
      <c r="K162" s="3"/>
      <c r="L162" s="3"/>
      <c r="M162" s="3"/>
      <c r="N162" s="3"/>
      <c r="O162" s="3"/>
      <c r="P162" s="3"/>
      <c r="Q162" s="3"/>
      <c r="R162" s="3"/>
      <c r="S162" s="3"/>
      <c r="T162" s="3"/>
      <c r="U162" s="3"/>
      <c r="V162" s="3"/>
      <c r="W162" s="3"/>
      <c r="X162" s="3"/>
      <c r="Y162" s="3"/>
      <c r="Z162" s="3"/>
      <c r="AA162" s="3"/>
      <c r="AB162" s="3"/>
      <c r="AC162" s="3"/>
    </row>
    <row r="163" spans="10:29">
      <c r="J163" s="3"/>
      <c r="K163" s="3"/>
      <c r="L163" s="3"/>
      <c r="M163" s="3"/>
      <c r="N163" s="3"/>
      <c r="O163" s="3"/>
      <c r="P163" s="3"/>
      <c r="Q163" s="3"/>
      <c r="R163" s="3"/>
      <c r="S163" s="3"/>
      <c r="T163" s="3"/>
      <c r="U163" s="3"/>
      <c r="V163" s="3"/>
      <c r="W163" s="3"/>
      <c r="X163" s="3"/>
      <c r="Y163" s="3"/>
      <c r="Z163" s="3"/>
      <c r="AA163" s="3"/>
      <c r="AB163" s="3"/>
      <c r="AC163" s="3"/>
    </row>
    <row r="164" spans="10:29">
      <c r="J164" s="3"/>
      <c r="K164" s="3"/>
      <c r="L164" s="3"/>
      <c r="M164" s="3"/>
      <c r="N164" s="3"/>
      <c r="O164" s="3"/>
      <c r="P164" s="3"/>
      <c r="Q164" s="3"/>
      <c r="R164" s="3"/>
      <c r="S164" s="3"/>
      <c r="T164" s="3"/>
      <c r="U164" s="3"/>
      <c r="V164" s="3"/>
      <c r="W164" s="3"/>
      <c r="X164" s="3"/>
      <c r="Y164" s="3"/>
      <c r="Z164" s="3"/>
      <c r="AA164" s="3"/>
      <c r="AB164" s="3"/>
      <c r="AC164" s="3"/>
    </row>
    <row r="165" spans="10:29">
      <c r="J165" s="3"/>
      <c r="K165" s="3"/>
      <c r="L165" s="3"/>
      <c r="M165" s="3"/>
      <c r="N165" s="3"/>
      <c r="O165" s="3"/>
      <c r="P165" s="3"/>
      <c r="Q165" s="3"/>
      <c r="R165" s="3"/>
      <c r="S165" s="3"/>
      <c r="T165" s="3"/>
      <c r="U165" s="3"/>
      <c r="V165" s="3"/>
      <c r="W165" s="3"/>
      <c r="X165" s="3"/>
      <c r="Y165" s="3"/>
      <c r="Z165" s="3"/>
      <c r="AA165" s="3"/>
      <c r="AB165" s="3"/>
      <c r="AC165" s="3"/>
    </row>
    <row r="166" spans="10:29">
      <c r="J166" s="3"/>
      <c r="K166" s="3"/>
      <c r="L166" s="3"/>
      <c r="M166" s="3"/>
      <c r="N166" s="3"/>
      <c r="O166" s="3"/>
      <c r="P166" s="3"/>
      <c r="Q166" s="3"/>
      <c r="R166" s="3"/>
      <c r="S166" s="3"/>
      <c r="T166" s="3"/>
      <c r="U166" s="3"/>
      <c r="V166" s="3"/>
      <c r="W166" s="3"/>
      <c r="X166" s="3"/>
      <c r="Y166" s="3"/>
      <c r="Z166" s="3"/>
      <c r="AA166" s="3"/>
      <c r="AB166" s="3"/>
      <c r="AC166" s="3"/>
    </row>
    <row r="167" spans="10:29">
      <c r="J167" s="3"/>
      <c r="K167" s="3"/>
      <c r="L167" s="3"/>
      <c r="M167" s="3"/>
      <c r="N167" s="3"/>
      <c r="O167" s="3"/>
      <c r="P167" s="3"/>
      <c r="Q167" s="3"/>
      <c r="R167" s="3"/>
      <c r="S167" s="3"/>
      <c r="T167" s="3"/>
      <c r="U167" s="3"/>
      <c r="V167" s="3"/>
      <c r="W167" s="3"/>
      <c r="X167" s="3"/>
      <c r="Y167" s="3"/>
      <c r="Z167" s="3"/>
      <c r="AA167" s="3"/>
      <c r="AB167" s="3"/>
      <c r="AC167" s="3"/>
    </row>
    <row r="168" spans="10:29">
      <c r="J168" s="3"/>
      <c r="K168" s="3"/>
      <c r="L168" s="3"/>
      <c r="M168" s="3"/>
      <c r="N168" s="3"/>
      <c r="O168" s="3"/>
      <c r="P168" s="3"/>
      <c r="Q168" s="3"/>
      <c r="R168" s="3"/>
      <c r="S168" s="3"/>
      <c r="T168" s="3"/>
      <c r="U168" s="3"/>
      <c r="V168" s="3"/>
      <c r="W168" s="3"/>
      <c r="X168" s="3"/>
      <c r="Y168" s="3"/>
      <c r="Z168" s="3"/>
      <c r="AA168" s="3"/>
      <c r="AB168" s="3"/>
      <c r="AC168" s="3"/>
    </row>
    <row r="169" spans="10:29">
      <c r="J169" s="3"/>
      <c r="K169" s="3"/>
      <c r="L169" s="3"/>
      <c r="M169" s="3"/>
      <c r="N169" s="3"/>
      <c r="O169" s="3"/>
      <c r="P169" s="3"/>
      <c r="Q169" s="3"/>
      <c r="R169" s="3"/>
      <c r="S169" s="3"/>
      <c r="T169" s="3"/>
      <c r="U169" s="3"/>
      <c r="V169" s="3"/>
      <c r="W169" s="3"/>
      <c r="X169" s="3"/>
      <c r="Y169" s="3"/>
      <c r="Z169" s="3"/>
      <c r="AA169" s="3"/>
      <c r="AB169" s="3"/>
      <c r="AC169" s="3"/>
    </row>
    <row r="170" spans="10:29">
      <c r="J170" s="3"/>
      <c r="K170" s="3"/>
      <c r="L170" s="3"/>
      <c r="M170" s="3"/>
      <c r="N170" s="3"/>
      <c r="O170" s="3"/>
      <c r="P170" s="3"/>
      <c r="Q170" s="3"/>
      <c r="R170" s="3"/>
      <c r="S170" s="3"/>
      <c r="T170" s="3"/>
      <c r="U170" s="3"/>
      <c r="V170" s="3"/>
      <c r="W170" s="3"/>
      <c r="X170" s="3"/>
      <c r="Y170" s="3"/>
      <c r="Z170" s="3"/>
      <c r="AA170" s="3"/>
      <c r="AB170" s="3"/>
      <c r="AC170" s="3"/>
    </row>
    <row r="171" spans="10:29">
      <c r="J171" s="3"/>
      <c r="K171" s="3"/>
      <c r="L171" s="3"/>
      <c r="M171" s="3"/>
      <c r="N171" s="3"/>
      <c r="O171" s="3"/>
      <c r="P171" s="3"/>
      <c r="Q171" s="3"/>
      <c r="R171" s="3"/>
      <c r="S171" s="3"/>
      <c r="T171" s="3"/>
      <c r="U171" s="3"/>
      <c r="V171" s="3"/>
      <c r="W171" s="3"/>
      <c r="X171" s="3"/>
      <c r="Y171" s="3"/>
      <c r="Z171" s="3"/>
      <c r="AA171" s="3"/>
      <c r="AB171" s="3"/>
      <c r="AC171" s="3"/>
    </row>
    <row r="172" spans="10:29">
      <c r="J172" s="3"/>
      <c r="K172" s="3"/>
      <c r="L172" s="3"/>
      <c r="M172" s="3"/>
      <c r="N172" s="3"/>
      <c r="O172" s="3"/>
      <c r="P172" s="3"/>
      <c r="Q172" s="3"/>
      <c r="R172" s="3"/>
      <c r="S172" s="3"/>
      <c r="T172" s="3"/>
      <c r="U172" s="3"/>
      <c r="V172" s="3"/>
      <c r="W172" s="3"/>
      <c r="X172" s="3"/>
      <c r="Y172" s="3"/>
      <c r="Z172" s="3"/>
      <c r="AA172" s="3"/>
      <c r="AB172" s="3"/>
      <c r="AC172" s="3"/>
    </row>
    <row r="173" spans="10:29">
      <c r="J173" s="3"/>
      <c r="K173" s="3"/>
      <c r="L173" s="3"/>
      <c r="M173" s="3"/>
      <c r="N173" s="3"/>
      <c r="O173" s="3"/>
      <c r="P173" s="3"/>
      <c r="Q173" s="3"/>
      <c r="R173" s="3"/>
      <c r="S173" s="3"/>
      <c r="T173" s="3"/>
      <c r="U173" s="3"/>
      <c r="V173" s="3"/>
      <c r="W173" s="3"/>
      <c r="X173" s="3"/>
      <c r="Y173" s="3"/>
      <c r="Z173" s="3"/>
      <c r="AA173" s="3"/>
      <c r="AB173" s="3"/>
      <c r="AC173" s="3"/>
    </row>
    <row r="174" spans="10:29">
      <c r="J174" s="3"/>
      <c r="K174" s="3"/>
      <c r="L174" s="3"/>
      <c r="M174" s="3"/>
      <c r="N174" s="3"/>
      <c r="O174" s="3"/>
      <c r="P174" s="3"/>
      <c r="Q174" s="3"/>
      <c r="R174" s="3"/>
      <c r="S174" s="3"/>
      <c r="T174" s="3"/>
      <c r="U174" s="3"/>
      <c r="V174" s="3"/>
      <c r="W174" s="3"/>
      <c r="X174" s="3"/>
      <c r="Y174" s="3"/>
      <c r="Z174" s="3"/>
      <c r="AA174" s="3"/>
      <c r="AB174" s="3"/>
      <c r="AC174" s="3"/>
    </row>
    <row r="175" spans="10:29">
      <c r="J175" s="3"/>
      <c r="K175" s="3"/>
      <c r="L175" s="3"/>
      <c r="M175" s="3"/>
      <c r="N175" s="3"/>
      <c r="O175" s="3"/>
      <c r="P175" s="3"/>
      <c r="Q175" s="3"/>
      <c r="R175" s="3"/>
      <c r="S175" s="3"/>
      <c r="T175" s="3"/>
      <c r="U175" s="3"/>
      <c r="V175" s="3"/>
      <c r="W175" s="3"/>
      <c r="X175" s="3"/>
      <c r="Y175" s="3"/>
      <c r="Z175" s="3"/>
      <c r="AA175" s="3"/>
      <c r="AB175" s="3"/>
      <c r="AC175" s="3"/>
    </row>
    <row r="176" spans="10:29">
      <c r="J176" s="3"/>
      <c r="K176" s="3"/>
      <c r="L176" s="3"/>
      <c r="M176" s="3"/>
      <c r="N176" s="3"/>
      <c r="O176" s="3"/>
      <c r="P176" s="3"/>
      <c r="Q176" s="3"/>
      <c r="R176" s="3"/>
      <c r="S176" s="3"/>
      <c r="T176" s="3"/>
      <c r="U176" s="3"/>
      <c r="V176" s="3"/>
      <c r="W176" s="3"/>
      <c r="X176" s="3"/>
      <c r="Y176" s="3"/>
      <c r="Z176" s="3"/>
      <c r="AA176" s="3"/>
      <c r="AB176" s="3"/>
      <c r="AC176" s="3"/>
    </row>
    <row r="177" spans="10:29">
      <c r="J177" s="3"/>
      <c r="K177" s="3"/>
      <c r="L177" s="3"/>
      <c r="M177" s="3"/>
      <c r="N177" s="3"/>
      <c r="O177" s="3"/>
      <c r="P177" s="3"/>
      <c r="Q177" s="3"/>
      <c r="R177" s="3"/>
      <c r="S177" s="3"/>
      <c r="T177" s="3"/>
      <c r="U177" s="3"/>
      <c r="V177" s="3"/>
      <c r="W177" s="3"/>
      <c r="X177" s="3"/>
      <c r="Y177" s="3"/>
      <c r="Z177" s="3"/>
      <c r="AA177" s="3"/>
      <c r="AB177" s="3"/>
      <c r="AC177" s="3"/>
    </row>
    <row r="178" spans="10:29">
      <c r="J178" s="3"/>
      <c r="K178" s="3"/>
      <c r="L178" s="3"/>
      <c r="M178" s="3"/>
      <c r="N178" s="3"/>
      <c r="O178" s="3"/>
      <c r="P178" s="3"/>
      <c r="Q178" s="3"/>
      <c r="R178" s="3"/>
      <c r="S178" s="3"/>
      <c r="T178" s="3"/>
      <c r="U178" s="3"/>
      <c r="V178" s="3"/>
      <c r="W178" s="3"/>
      <c r="X178" s="3"/>
      <c r="Y178" s="3"/>
      <c r="Z178" s="3"/>
      <c r="AA178" s="3"/>
      <c r="AB178" s="3"/>
      <c r="AC178" s="3"/>
    </row>
    <row r="179" spans="10:29">
      <c r="J179" s="3"/>
      <c r="K179" s="3"/>
      <c r="L179" s="3"/>
      <c r="M179" s="3"/>
      <c r="N179" s="3"/>
      <c r="O179" s="3"/>
      <c r="P179" s="3"/>
      <c r="Q179" s="3"/>
      <c r="R179" s="3"/>
      <c r="S179" s="3"/>
      <c r="T179" s="3"/>
      <c r="U179" s="3"/>
      <c r="V179" s="3"/>
      <c r="W179" s="3"/>
      <c r="X179" s="3"/>
      <c r="Y179" s="3"/>
      <c r="Z179" s="3"/>
      <c r="AA179" s="3"/>
      <c r="AB179" s="3"/>
      <c r="AC179" s="3"/>
    </row>
    <row r="180" spans="10:29">
      <c r="J180" s="3"/>
      <c r="K180" s="3"/>
      <c r="L180" s="3"/>
      <c r="M180" s="3"/>
      <c r="N180" s="3"/>
      <c r="O180" s="3"/>
      <c r="P180" s="3"/>
      <c r="Q180" s="3"/>
      <c r="R180" s="3"/>
      <c r="S180" s="3"/>
      <c r="T180" s="3"/>
      <c r="U180" s="3"/>
      <c r="V180" s="3"/>
      <c r="W180" s="3"/>
      <c r="X180" s="3"/>
      <c r="Y180" s="3"/>
      <c r="Z180" s="3"/>
      <c r="AA180" s="3"/>
      <c r="AB180" s="3"/>
      <c r="AC180" s="3"/>
    </row>
    <row r="181" spans="10:29">
      <c r="J181" s="3"/>
      <c r="K181" s="3"/>
      <c r="L181" s="3"/>
      <c r="M181" s="3"/>
      <c r="N181" s="3"/>
      <c r="O181" s="3"/>
      <c r="P181" s="3"/>
      <c r="Q181" s="3"/>
      <c r="R181" s="3"/>
      <c r="S181" s="3"/>
      <c r="T181" s="3"/>
      <c r="U181" s="3"/>
      <c r="V181" s="3"/>
      <c r="W181" s="3"/>
      <c r="X181" s="3"/>
      <c r="Y181" s="3"/>
      <c r="Z181" s="3"/>
      <c r="AA181" s="3"/>
      <c r="AB181" s="3"/>
      <c r="AC181" s="3"/>
    </row>
    <row r="182" spans="10:29">
      <c r="J182" s="3"/>
      <c r="K182" s="3"/>
      <c r="L182" s="3"/>
      <c r="M182" s="3"/>
      <c r="N182" s="3"/>
      <c r="O182" s="3"/>
      <c r="P182" s="3"/>
      <c r="Q182" s="3"/>
      <c r="R182" s="3"/>
      <c r="S182" s="3"/>
      <c r="T182" s="3"/>
      <c r="U182" s="3"/>
      <c r="V182" s="3"/>
      <c r="W182" s="3"/>
      <c r="X182" s="3"/>
      <c r="Y182" s="3"/>
      <c r="Z182" s="3"/>
      <c r="AA182" s="3"/>
      <c r="AB182" s="3"/>
      <c r="AC182" s="3"/>
    </row>
    <row r="183" spans="10:29">
      <c r="J183" s="3"/>
      <c r="K183" s="3"/>
      <c r="L183" s="3"/>
      <c r="M183" s="3"/>
      <c r="N183" s="3"/>
      <c r="O183" s="3"/>
      <c r="P183" s="3"/>
      <c r="Q183" s="3"/>
      <c r="R183" s="3"/>
      <c r="S183" s="3"/>
      <c r="T183" s="3"/>
      <c r="U183" s="3"/>
      <c r="V183" s="3"/>
      <c r="W183" s="3"/>
      <c r="X183" s="3"/>
      <c r="Y183" s="3"/>
      <c r="Z183" s="3"/>
      <c r="AA183" s="3"/>
      <c r="AB183" s="3"/>
      <c r="AC183" s="3"/>
    </row>
    <row r="184" spans="10:29">
      <c r="J184" s="3"/>
      <c r="K184" s="3"/>
      <c r="L184" s="3"/>
      <c r="M184" s="3"/>
      <c r="N184" s="3"/>
      <c r="O184" s="3"/>
      <c r="P184" s="3"/>
      <c r="Q184" s="3"/>
      <c r="R184" s="3"/>
      <c r="S184" s="3"/>
      <c r="T184" s="3"/>
      <c r="U184" s="3"/>
      <c r="V184" s="3"/>
      <c r="W184" s="3"/>
      <c r="X184" s="3"/>
      <c r="Y184" s="3"/>
      <c r="Z184" s="3"/>
      <c r="AA184" s="3"/>
      <c r="AB184" s="3"/>
      <c r="AC184" s="3"/>
    </row>
    <row r="185" spans="10:29">
      <c r="J185" s="3"/>
      <c r="K185" s="3"/>
      <c r="L185" s="3"/>
      <c r="M185" s="3"/>
      <c r="N185" s="3"/>
      <c r="O185" s="3"/>
      <c r="P185" s="3"/>
      <c r="Q185" s="3"/>
      <c r="R185" s="3"/>
      <c r="S185" s="3"/>
      <c r="T185" s="3"/>
      <c r="U185" s="3"/>
      <c r="V185" s="3"/>
      <c r="W185" s="3"/>
      <c r="X185" s="3"/>
      <c r="Y185" s="3"/>
      <c r="Z185" s="3"/>
      <c r="AA185" s="3"/>
      <c r="AB185" s="3"/>
      <c r="AC185" s="3"/>
    </row>
    <row r="186" spans="10:29">
      <c r="J186" s="3"/>
      <c r="K186" s="3"/>
      <c r="L186" s="3"/>
      <c r="M186" s="3"/>
      <c r="N186" s="3"/>
      <c r="O186" s="3"/>
      <c r="P186" s="3"/>
      <c r="Q186" s="3"/>
      <c r="R186" s="3"/>
      <c r="S186" s="3"/>
      <c r="T186" s="3"/>
      <c r="U186" s="3"/>
      <c r="V186" s="3"/>
      <c r="W186" s="3"/>
      <c r="X186" s="3"/>
      <c r="Y186" s="3"/>
      <c r="Z186" s="3"/>
      <c r="AA186" s="3"/>
      <c r="AB186" s="3"/>
      <c r="AC186" s="3"/>
    </row>
    <row r="187" spans="10:29">
      <c r="J187" s="3"/>
      <c r="K187" s="3"/>
      <c r="L187" s="3"/>
      <c r="M187" s="3"/>
      <c r="N187" s="3"/>
      <c r="O187" s="3"/>
      <c r="P187" s="3"/>
      <c r="Q187" s="3"/>
      <c r="R187" s="3"/>
      <c r="S187" s="3"/>
      <c r="T187" s="3"/>
      <c r="U187" s="3"/>
      <c r="V187" s="3"/>
      <c r="W187" s="3"/>
      <c r="X187" s="3"/>
      <c r="Y187" s="3"/>
      <c r="Z187" s="3"/>
      <c r="AA187" s="3"/>
      <c r="AB187" s="3"/>
      <c r="AC187" s="3"/>
    </row>
    <row r="188" spans="10:29">
      <c r="J188" s="3"/>
      <c r="K188" s="3"/>
      <c r="L188" s="3"/>
      <c r="M188" s="3"/>
      <c r="N188" s="3"/>
      <c r="O188" s="3"/>
      <c r="P188" s="3"/>
      <c r="Q188" s="3"/>
      <c r="R188" s="3"/>
      <c r="S188" s="3"/>
      <c r="T188" s="3"/>
      <c r="U188" s="3"/>
      <c r="V188" s="3"/>
      <c r="W188" s="3"/>
      <c r="X188" s="3"/>
      <c r="Y188" s="3"/>
      <c r="Z188" s="3"/>
      <c r="AA188" s="3"/>
      <c r="AB188" s="3"/>
      <c r="AC188" s="3"/>
    </row>
    <row r="189" spans="10:29">
      <c r="J189" s="3"/>
      <c r="K189" s="3"/>
      <c r="L189" s="3"/>
      <c r="M189" s="3"/>
      <c r="N189" s="3"/>
      <c r="O189" s="3"/>
      <c r="P189" s="3"/>
      <c r="Q189" s="3"/>
      <c r="R189" s="3"/>
      <c r="S189" s="3"/>
      <c r="T189" s="3"/>
      <c r="U189" s="3"/>
      <c r="V189" s="3"/>
      <c r="W189" s="3"/>
      <c r="X189" s="3"/>
      <c r="Y189" s="3"/>
      <c r="Z189" s="3"/>
      <c r="AA189" s="3"/>
      <c r="AB189" s="3"/>
      <c r="AC189" s="3"/>
    </row>
    <row r="190" spans="10:29">
      <c r="J190" s="3"/>
      <c r="K190" s="3"/>
      <c r="L190" s="3"/>
      <c r="M190" s="3"/>
      <c r="N190" s="3"/>
      <c r="O190" s="3"/>
      <c r="P190" s="3"/>
      <c r="Q190" s="3"/>
      <c r="R190" s="3"/>
      <c r="S190" s="3"/>
      <c r="T190" s="3"/>
      <c r="U190" s="3"/>
      <c r="V190" s="3"/>
      <c r="W190" s="3"/>
      <c r="X190" s="3"/>
      <c r="Y190" s="3"/>
      <c r="Z190" s="3"/>
      <c r="AA190" s="3"/>
      <c r="AB190" s="3"/>
      <c r="AC190" s="3"/>
    </row>
    <row r="191" spans="10:29">
      <c r="J191" s="3"/>
      <c r="K191" s="3"/>
      <c r="L191" s="3"/>
      <c r="M191" s="3"/>
      <c r="N191" s="3"/>
      <c r="O191" s="3"/>
      <c r="P191" s="3"/>
      <c r="Q191" s="3"/>
      <c r="R191" s="3"/>
      <c r="S191" s="3"/>
      <c r="T191" s="3"/>
      <c r="U191" s="3"/>
      <c r="V191" s="3"/>
      <c r="W191" s="3"/>
      <c r="X191" s="3"/>
      <c r="Y191" s="3"/>
      <c r="Z191" s="3"/>
      <c r="AA191" s="3"/>
      <c r="AB191" s="3"/>
      <c r="AC191" s="3"/>
    </row>
    <row r="192" spans="10:29">
      <c r="J192" s="3"/>
      <c r="K192" s="3"/>
      <c r="L192" s="3"/>
      <c r="M192" s="3"/>
      <c r="N192" s="3"/>
      <c r="O192" s="3"/>
      <c r="P192" s="3"/>
      <c r="Q192" s="3"/>
      <c r="R192" s="3"/>
      <c r="S192" s="3"/>
      <c r="T192" s="3"/>
      <c r="U192" s="3"/>
      <c r="V192" s="3"/>
      <c r="W192" s="3"/>
      <c r="X192" s="3"/>
      <c r="Y192" s="3"/>
      <c r="Z192" s="3"/>
      <c r="AA192" s="3"/>
      <c r="AB192" s="3"/>
      <c r="AC192" s="3"/>
    </row>
    <row r="193" spans="10:29">
      <c r="J193" s="3"/>
      <c r="K193" s="3"/>
      <c r="L193" s="3"/>
      <c r="M193" s="3"/>
      <c r="N193" s="3"/>
      <c r="O193" s="3"/>
      <c r="P193" s="3"/>
      <c r="Q193" s="3"/>
      <c r="R193" s="3"/>
      <c r="S193" s="3"/>
      <c r="T193" s="3"/>
      <c r="U193" s="3"/>
      <c r="V193" s="3"/>
      <c r="W193" s="3"/>
      <c r="X193" s="3"/>
      <c r="Y193" s="3"/>
      <c r="Z193" s="3"/>
      <c r="AA193" s="3"/>
      <c r="AB193" s="3"/>
      <c r="AC193" s="3"/>
    </row>
    <row r="194" spans="10:29">
      <c r="J194" s="3"/>
      <c r="K194" s="3"/>
      <c r="L194" s="3"/>
      <c r="M194" s="3"/>
      <c r="N194" s="3"/>
      <c r="O194" s="3"/>
      <c r="P194" s="3"/>
      <c r="Q194" s="3"/>
      <c r="R194" s="3"/>
      <c r="S194" s="3"/>
      <c r="T194" s="3"/>
      <c r="U194" s="3"/>
      <c r="V194" s="3"/>
      <c r="W194" s="3"/>
      <c r="X194" s="3"/>
      <c r="Y194" s="3"/>
      <c r="Z194" s="3"/>
      <c r="AA194" s="3"/>
      <c r="AB194" s="3"/>
      <c r="AC194" s="3"/>
    </row>
    <row r="195" spans="10:29">
      <c r="J195" s="3"/>
      <c r="K195" s="3"/>
      <c r="L195" s="3"/>
      <c r="M195" s="3"/>
      <c r="N195" s="3"/>
      <c r="O195" s="3"/>
      <c r="P195" s="3"/>
      <c r="Q195" s="3"/>
      <c r="R195" s="3"/>
      <c r="S195" s="3"/>
      <c r="T195" s="3"/>
      <c r="U195" s="3"/>
      <c r="V195" s="3"/>
      <c r="W195" s="3"/>
      <c r="X195" s="3"/>
      <c r="Y195" s="3"/>
      <c r="Z195" s="3"/>
      <c r="AA195" s="3"/>
      <c r="AB195" s="3"/>
      <c r="AC195" s="3"/>
    </row>
    <row r="196" spans="10:29">
      <c r="J196" s="3"/>
      <c r="K196" s="3"/>
      <c r="L196" s="3"/>
      <c r="M196" s="3"/>
      <c r="N196" s="3"/>
      <c r="O196" s="3"/>
      <c r="P196" s="3"/>
      <c r="Q196" s="3"/>
      <c r="R196" s="3"/>
      <c r="S196" s="3"/>
      <c r="T196" s="3"/>
      <c r="U196" s="3"/>
      <c r="V196" s="3"/>
      <c r="W196" s="3"/>
      <c r="X196" s="3"/>
      <c r="Y196" s="3"/>
      <c r="Z196" s="3"/>
      <c r="AA196" s="3"/>
      <c r="AB196" s="3"/>
      <c r="AC196" s="3"/>
    </row>
    <row r="197" spans="10:29">
      <c r="J197" s="3"/>
      <c r="K197" s="3"/>
      <c r="L197" s="3"/>
      <c r="M197" s="3"/>
      <c r="N197" s="3"/>
      <c r="O197" s="3"/>
      <c r="P197" s="3"/>
      <c r="Q197" s="3"/>
      <c r="R197" s="3"/>
      <c r="S197" s="3"/>
      <c r="T197" s="3"/>
      <c r="U197" s="3"/>
      <c r="V197" s="3"/>
      <c r="W197" s="3"/>
      <c r="X197" s="3"/>
      <c r="Y197" s="3"/>
      <c r="Z197" s="3"/>
      <c r="AA197" s="3"/>
      <c r="AB197" s="3"/>
      <c r="AC197" s="3"/>
    </row>
    <row r="198" spans="10:29">
      <c r="J198" s="3"/>
      <c r="K198" s="3"/>
      <c r="L198" s="3"/>
      <c r="M198" s="3"/>
      <c r="N198" s="3"/>
      <c r="O198" s="3"/>
      <c r="P198" s="3"/>
      <c r="Q198" s="3"/>
      <c r="R198" s="3"/>
      <c r="S198" s="3"/>
      <c r="T198" s="3"/>
      <c r="U198" s="3"/>
      <c r="V198" s="3"/>
      <c r="W198" s="3"/>
      <c r="X198" s="3"/>
      <c r="Y198" s="3"/>
      <c r="Z198" s="3"/>
      <c r="AA198" s="3"/>
      <c r="AB198" s="3"/>
      <c r="AC198" s="3"/>
    </row>
    <row r="199" spans="10:29">
      <c r="J199" s="3"/>
      <c r="K199" s="3"/>
      <c r="L199" s="3"/>
      <c r="M199" s="3"/>
      <c r="N199" s="3"/>
      <c r="O199" s="3"/>
      <c r="P199" s="3"/>
      <c r="Q199" s="3"/>
      <c r="R199" s="3"/>
      <c r="S199" s="3"/>
      <c r="T199" s="3"/>
      <c r="U199" s="3"/>
      <c r="V199" s="3"/>
      <c r="W199" s="3"/>
      <c r="X199" s="3"/>
      <c r="Y199" s="3"/>
      <c r="Z199" s="3"/>
      <c r="AA199" s="3"/>
      <c r="AB199" s="3"/>
      <c r="AC199" s="3"/>
    </row>
    <row r="200" spans="10:29">
      <c r="J200" s="3"/>
      <c r="K200" s="3"/>
      <c r="L200" s="3"/>
      <c r="M200" s="3"/>
      <c r="N200" s="3"/>
      <c r="O200" s="3"/>
      <c r="P200" s="3"/>
      <c r="Q200" s="3"/>
      <c r="R200" s="3"/>
      <c r="S200" s="3"/>
      <c r="T200" s="3"/>
      <c r="U200" s="3"/>
      <c r="V200" s="3"/>
      <c r="W200" s="3"/>
      <c r="X200" s="3"/>
      <c r="Y200" s="3"/>
      <c r="Z200" s="3"/>
      <c r="AA200" s="3"/>
      <c r="AB200" s="3"/>
      <c r="AC200" s="3"/>
    </row>
    <row r="201" spans="10:29">
      <c r="J201" s="3"/>
      <c r="K201" s="3"/>
      <c r="L201" s="3"/>
      <c r="M201" s="3"/>
      <c r="N201" s="3"/>
      <c r="O201" s="3"/>
      <c r="P201" s="3"/>
      <c r="Q201" s="3"/>
      <c r="R201" s="3"/>
      <c r="S201" s="3"/>
      <c r="T201" s="3"/>
      <c r="U201" s="3"/>
      <c r="V201" s="3"/>
      <c r="W201" s="3"/>
      <c r="X201" s="3"/>
      <c r="Y201" s="3"/>
      <c r="Z201" s="3"/>
      <c r="AA201" s="3"/>
      <c r="AB201" s="3"/>
      <c r="AC201" s="3"/>
    </row>
    <row r="202" spans="10:29">
      <c r="J202" s="3"/>
      <c r="K202" s="3"/>
      <c r="L202" s="3"/>
      <c r="M202" s="3"/>
      <c r="N202" s="3"/>
      <c r="O202" s="3"/>
      <c r="P202" s="3"/>
      <c r="Q202" s="3"/>
      <c r="R202" s="3"/>
      <c r="S202" s="3"/>
      <c r="T202" s="3"/>
      <c r="U202" s="3"/>
      <c r="V202" s="3"/>
      <c r="W202" s="3"/>
      <c r="X202" s="3"/>
      <c r="Y202" s="3"/>
      <c r="Z202" s="3"/>
      <c r="AA202" s="3"/>
      <c r="AB202" s="3"/>
      <c r="AC202" s="3"/>
    </row>
    <row r="203" spans="10:29">
      <c r="J203" s="3"/>
      <c r="K203" s="3"/>
      <c r="L203" s="3"/>
      <c r="M203" s="3"/>
      <c r="N203" s="3"/>
      <c r="O203" s="3"/>
      <c r="P203" s="3"/>
      <c r="Q203" s="3"/>
      <c r="R203" s="3"/>
      <c r="S203" s="3"/>
      <c r="T203" s="3"/>
      <c r="U203" s="3"/>
      <c r="V203" s="3"/>
      <c r="W203" s="3"/>
      <c r="X203" s="3"/>
      <c r="Y203" s="3"/>
      <c r="Z203" s="3"/>
      <c r="AA203" s="3"/>
      <c r="AB203" s="3"/>
      <c r="AC203" s="3"/>
    </row>
    <row r="204" spans="10:29">
      <c r="J204" s="3"/>
      <c r="K204" s="3"/>
      <c r="L204" s="3"/>
      <c r="M204" s="3"/>
      <c r="N204" s="3"/>
      <c r="O204" s="3"/>
      <c r="P204" s="3"/>
      <c r="Q204" s="3"/>
      <c r="R204" s="3"/>
      <c r="S204" s="3"/>
      <c r="T204" s="3"/>
      <c r="U204" s="3"/>
      <c r="V204" s="3"/>
      <c r="W204" s="3"/>
      <c r="X204" s="3"/>
      <c r="Y204" s="3"/>
      <c r="Z204" s="3"/>
      <c r="AA204" s="3"/>
      <c r="AB204" s="3"/>
      <c r="AC204" s="3"/>
    </row>
    <row r="205" spans="10:29">
      <c r="J205" s="3"/>
      <c r="K205" s="3"/>
      <c r="L205" s="3"/>
      <c r="M205" s="3"/>
      <c r="N205" s="3"/>
      <c r="O205" s="3"/>
      <c r="P205" s="3"/>
      <c r="Q205" s="3"/>
      <c r="R205" s="3"/>
      <c r="S205" s="3"/>
      <c r="T205" s="3"/>
      <c r="U205" s="3"/>
      <c r="V205" s="3"/>
      <c r="W205" s="3"/>
      <c r="X205" s="3"/>
      <c r="Y205" s="3"/>
      <c r="Z205" s="3"/>
      <c r="AA205" s="3"/>
      <c r="AB205" s="3"/>
      <c r="AC205" s="3"/>
    </row>
    <row r="206" spans="10:29">
      <c r="J206" s="3"/>
      <c r="K206" s="3"/>
      <c r="L206" s="3"/>
      <c r="M206" s="3"/>
      <c r="N206" s="3"/>
      <c r="O206" s="3"/>
      <c r="P206" s="3"/>
      <c r="Q206" s="3"/>
      <c r="R206" s="3"/>
      <c r="S206" s="3"/>
      <c r="T206" s="3"/>
      <c r="U206" s="3"/>
      <c r="V206" s="3"/>
      <c r="W206" s="3"/>
      <c r="X206" s="3"/>
      <c r="Y206" s="3"/>
      <c r="Z206" s="3"/>
      <c r="AA206" s="3"/>
      <c r="AB206" s="3"/>
      <c r="AC206" s="3"/>
    </row>
    <row r="207" spans="10:29">
      <c r="J207" s="3"/>
      <c r="K207" s="3"/>
      <c r="L207" s="3"/>
      <c r="M207" s="3"/>
      <c r="N207" s="3"/>
      <c r="O207" s="3"/>
      <c r="P207" s="3"/>
      <c r="Q207" s="3"/>
      <c r="R207" s="3"/>
      <c r="S207" s="3"/>
      <c r="T207" s="3"/>
      <c r="U207" s="3"/>
      <c r="V207" s="3"/>
      <c r="W207" s="3"/>
      <c r="X207" s="3"/>
      <c r="Y207" s="3"/>
      <c r="Z207" s="3"/>
      <c r="AA207" s="3"/>
      <c r="AB207" s="3"/>
      <c r="AC207" s="3"/>
    </row>
    <row r="208" spans="10:29">
      <c r="J208" s="3"/>
      <c r="K208" s="3"/>
      <c r="L208" s="3"/>
      <c r="M208" s="3"/>
      <c r="N208" s="3"/>
      <c r="O208" s="3"/>
      <c r="P208" s="3"/>
      <c r="Q208" s="3"/>
      <c r="R208" s="3"/>
      <c r="S208" s="3"/>
      <c r="T208" s="3"/>
      <c r="U208" s="3"/>
      <c r="V208" s="3"/>
      <c r="W208" s="3"/>
      <c r="X208" s="3"/>
      <c r="Y208" s="3"/>
      <c r="Z208" s="3"/>
      <c r="AA208" s="3"/>
      <c r="AB208" s="3"/>
      <c r="AC208" s="3"/>
    </row>
    <row r="209" spans="10:29">
      <c r="J209" s="3"/>
      <c r="K209" s="3"/>
      <c r="L209" s="3"/>
      <c r="M209" s="3"/>
      <c r="N209" s="3"/>
      <c r="O209" s="3"/>
      <c r="P209" s="3"/>
      <c r="Q209" s="3"/>
      <c r="R209" s="3"/>
      <c r="S209" s="3"/>
      <c r="T209" s="3"/>
      <c r="U209" s="3"/>
      <c r="V209" s="3"/>
      <c r="W209" s="3"/>
      <c r="X209" s="3"/>
      <c r="Y209" s="3"/>
      <c r="Z209" s="3"/>
      <c r="AA209" s="3"/>
      <c r="AB209" s="3"/>
      <c r="AC209" s="3"/>
    </row>
    <row r="210" spans="10:29">
      <c r="J210" s="3"/>
      <c r="K210" s="3"/>
      <c r="L210" s="3"/>
      <c r="M210" s="3"/>
      <c r="N210" s="3"/>
      <c r="O210" s="3"/>
      <c r="P210" s="3"/>
      <c r="Q210" s="3"/>
      <c r="R210" s="3"/>
      <c r="S210" s="3"/>
      <c r="T210" s="3"/>
      <c r="U210" s="3"/>
      <c r="V210" s="3"/>
      <c r="W210" s="3"/>
      <c r="X210" s="3"/>
      <c r="Y210" s="3"/>
      <c r="Z210" s="3"/>
      <c r="AA210" s="3"/>
      <c r="AB210" s="3"/>
      <c r="AC210" s="3"/>
    </row>
    <row r="211" spans="10:29">
      <c r="J211" s="3"/>
      <c r="K211" s="3"/>
      <c r="L211" s="3"/>
      <c r="M211" s="3"/>
      <c r="N211" s="3"/>
      <c r="O211" s="3"/>
      <c r="P211" s="3"/>
      <c r="Q211" s="3"/>
      <c r="R211" s="3"/>
      <c r="S211" s="3"/>
      <c r="T211" s="3"/>
      <c r="U211" s="3"/>
      <c r="V211" s="3"/>
      <c r="W211" s="3"/>
      <c r="X211" s="3"/>
      <c r="Y211" s="3"/>
      <c r="Z211" s="3"/>
      <c r="AA211" s="3"/>
      <c r="AB211" s="3"/>
      <c r="AC211" s="3"/>
    </row>
    <row r="212" spans="10:29">
      <c r="J212" s="3"/>
      <c r="K212" s="3"/>
      <c r="L212" s="3"/>
      <c r="M212" s="3"/>
      <c r="N212" s="3"/>
      <c r="O212" s="3"/>
      <c r="P212" s="3"/>
      <c r="Q212" s="3"/>
      <c r="R212" s="3"/>
      <c r="S212" s="3"/>
      <c r="T212" s="3"/>
      <c r="U212" s="3"/>
      <c r="V212" s="3"/>
      <c r="W212" s="3"/>
      <c r="X212" s="3"/>
      <c r="Y212" s="3"/>
      <c r="Z212" s="3"/>
      <c r="AA212" s="3"/>
      <c r="AB212" s="3"/>
      <c r="AC212" s="3"/>
    </row>
    <row r="213" spans="10:29">
      <c r="J213" s="3"/>
      <c r="K213" s="3"/>
      <c r="L213" s="3"/>
      <c r="M213" s="3"/>
      <c r="N213" s="3"/>
      <c r="O213" s="3"/>
      <c r="P213" s="3"/>
      <c r="Q213" s="3"/>
      <c r="R213" s="3"/>
      <c r="S213" s="3"/>
      <c r="T213" s="3"/>
      <c r="U213" s="3"/>
      <c r="V213" s="3"/>
      <c r="W213" s="3"/>
      <c r="X213" s="3"/>
      <c r="Y213" s="3"/>
      <c r="Z213" s="3"/>
      <c r="AA213" s="3"/>
      <c r="AB213" s="3"/>
      <c r="AC213" s="3"/>
    </row>
    <row r="214" spans="10:29">
      <c r="J214" s="3"/>
      <c r="K214" s="3"/>
      <c r="L214" s="3"/>
      <c r="M214" s="3"/>
      <c r="N214" s="3"/>
      <c r="O214" s="3"/>
      <c r="P214" s="3"/>
      <c r="Q214" s="3"/>
      <c r="R214" s="3"/>
      <c r="S214" s="3"/>
      <c r="T214" s="3"/>
      <c r="U214" s="3"/>
      <c r="V214" s="3"/>
      <c r="W214" s="3"/>
      <c r="X214" s="3"/>
      <c r="Y214" s="3"/>
      <c r="Z214" s="3"/>
      <c r="AA214" s="3"/>
      <c r="AB214" s="3"/>
      <c r="AC214" s="3"/>
    </row>
    <row r="215" spans="10:29">
      <c r="J215" s="3"/>
      <c r="K215" s="3"/>
      <c r="L215" s="3"/>
      <c r="M215" s="3"/>
      <c r="N215" s="3"/>
      <c r="O215" s="3"/>
      <c r="P215" s="3"/>
      <c r="Q215" s="3"/>
      <c r="R215" s="3"/>
      <c r="S215" s="3"/>
      <c r="T215" s="3"/>
      <c r="U215" s="3"/>
      <c r="V215" s="3"/>
      <c r="W215" s="3"/>
      <c r="X215" s="3"/>
      <c r="Y215" s="3"/>
      <c r="Z215" s="3"/>
      <c r="AA215" s="3"/>
      <c r="AB215" s="3"/>
      <c r="AC215" s="3"/>
    </row>
    <row r="216" spans="10:29">
      <c r="J216" s="3"/>
      <c r="K216" s="3"/>
      <c r="L216" s="3"/>
      <c r="M216" s="3"/>
      <c r="N216" s="3"/>
      <c r="O216" s="3"/>
      <c r="P216" s="3"/>
      <c r="Q216" s="3"/>
      <c r="R216" s="3"/>
      <c r="S216" s="3"/>
      <c r="T216" s="3"/>
      <c r="U216" s="3"/>
      <c r="V216" s="3"/>
      <c r="W216" s="3"/>
      <c r="X216" s="3"/>
      <c r="Y216" s="3"/>
      <c r="Z216" s="3"/>
      <c r="AA216" s="3"/>
      <c r="AB216" s="3"/>
      <c r="AC216" s="3"/>
    </row>
    <row r="217" spans="10:29">
      <c r="J217" s="3"/>
      <c r="K217" s="3"/>
      <c r="L217" s="3"/>
      <c r="M217" s="3"/>
      <c r="N217" s="3"/>
      <c r="O217" s="3"/>
      <c r="P217" s="3"/>
      <c r="Q217" s="3"/>
      <c r="R217" s="3"/>
      <c r="S217" s="3"/>
      <c r="T217" s="3"/>
      <c r="U217" s="3"/>
      <c r="V217" s="3"/>
      <c r="W217" s="3"/>
      <c r="X217" s="3"/>
      <c r="Y217" s="3"/>
      <c r="Z217" s="3"/>
      <c r="AA217" s="3"/>
      <c r="AB217" s="3"/>
      <c r="AC217" s="3"/>
    </row>
    <row r="218" spans="10:29">
      <c r="J218" s="3"/>
      <c r="K218" s="3"/>
      <c r="L218" s="3"/>
      <c r="M218" s="3"/>
      <c r="N218" s="3"/>
      <c r="O218" s="3"/>
      <c r="P218" s="3"/>
      <c r="Q218" s="3"/>
      <c r="R218" s="3"/>
      <c r="S218" s="3"/>
      <c r="T218" s="3"/>
      <c r="U218" s="3"/>
      <c r="V218" s="3"/>
      <c r="W218" s="3"/>
      <c r="X218" s="3"/>
      <c r="Y218" s="3"/>
      <c r="Z218" s="3"/>
      <c r="AA218" s="3"/>
      <c r="AB218" s="3"/>
      <c r="AC218" s="3"/>
    </row>
    <row r="219" spans="10:29">
      <c r="J219" s="3"/>
      <c r="K219" s="3"/>
      <c r="L219" s="3"/>
      <c r="M219" s="3"/>
      <c r="N219" s="3"/>
      <c r="O219" s="3"/>
      <c r="P219" s="3"/>
      <c r="Q219" s="3"/>
      <c r="R219" s="3"/>
      <c r="S219" s="3"/>
      <c r="T219" s="3"/>
      <c r="U219" s="3"/>
      <c r="V219" s="3"/>
      <c r="W219" s="3"/>
      <c r="X219" s="3"/>
      <c r="Y219" s="3"/>
      <c r="Z219" s="3"/>
      <c r="AA219" s="3"/>
      <c r="AB219" s="3"/>
      <c r="AC219" s="3"/>
    </row>
    <row r="220" spans="10:29">
      <c r="J220" s="3"/>
      <c r="K220" s="3"/>
      <c r="L220" s="3"/>
      <c r="M220" s="3"/>
      <c r="N220" s="3"/>
      <c r="O220" s="3"/>
      <c r="P220" s="3"/>
      <c r="Q220" s="3"/>
      <c r="R220" s="3"/>
      <c r="S220" s="3"/>
      <c r="T220" s="3"/>
      <c r="U220" s="3"/>
      <c r="V220" s="3"/>
      <c r="W220" s="3"/>
      <c r="X220" s="3"/>
      <c r="Y220" s="3"/>
      <c r="Z220" s="3"/>
      <c r="AA220" s="3"/>
      <c r="AB220" s="3"/>
      <c r="AC220" s="3"/>
    </row>
    <row r="221" spans="10:29">
      <c r="J221" s="3"/>
      <c r="K221" s="3"/>
      <c r="L221" s="3"/>
      <c r="M221" s="3"/>
      <c r="N221" s="3"/>
      <c r="O221" s="3"/>
      <c r="P221" s="3"/>
      <c r="Q221" s="3"/>
      <c r="R221" s="3"/>
      <c r="S221" s="3"/>
      <c r="T221" s="3"/>
      <c r="U221" s="3"/>
      <c r="V221" s="3"/>
      <c r="W221" s="3"/>
      <c r="X221" s="3"/>
      <c r="Y221" s="3"/>
      <c r="Z221" s="3"/>
      <c r="AA221" s="3"/>
      <c r="AB221" s="3"/>
      <c r="AC221" s="3"/>
    </row>
    <row r="222" spans="10:29">
      <c r="J222" s="3"/>
      <c r="K222" s="3"/>
      <c r="L222" s="3"/>
      <c r="M222" s="3"/>
      <c r="N222" s="3"/>
      <c r="O222" s="3"/>
      <c r="P222" s="3"/>
      <c r="Q222" s="3"/>
      <c r="R222" s="3"/>
      <c r="S222" s="3"/>
      <c r="T222" s="3"/>
      <c r="U222" s="3"/>
      <c r="V222" s="3"/>
      <c r="W222" s="3"/>
      <c r="X222" s="3"/>
      <c r="Y222" s="3"/>
      <c r="Z222" s="3"/>
      <c r="AA222" s="3"/>
      <c r="AB222" s="3"/>
      <c r="AC222" s="3"/>
    </row>
    <row r="223" spans="10:29">
      <c r="J223" s="3"/>
      <c r="K223" s="3"/>
      <c r="L223" s="3"/>
      <c r="M223" s="3"/>
      <c r="N223" s="3"/>
      <c r="O223" s="3"/>
      <c r="P223" s="3"/>
      <c r="Q223" s="3"/>
      <c r="R223" s="3"/>
      <c r="S223" s="3"/>
      <c r="T223" s="3"/>
      <c r="U223" s="3"/>
      <c r="V223" s="3"/>
      <c r="W223" s="3"/>
      <c r="X223" s="3"/>
      <c r="Y223" s="3"/>
      <c r="Z223" s="3"/>
      <c r="AA223" s="3"/>
      <c r="AB223" s="3"/>
      <c r="AC223" s="3"/>
    </row>
    <row r="224" spans="10:29">
      <c r="J224" s="3"/>
      <c r="K224" s="3"/>
      <c r="L224" s="3"/>
      <c r="M224" s="3"/>
      <c r="N224" s="3"/>
      <c r="O224" s="3"/>
      <c r="P224" s="3"/>
      <c r="Q224" s="3"/>
      <c r="R224" s="3"/>
      <c r="S224" s="3"/>
      <c r="T224" s="3"/>
      <c r="U224" s="3"/>
      <c r="V224" s="3"/>
      <c r="W224" s="3"/>
      <c r="X224" s="3"/>
      <c r="Y224" s="3"/>
      <c r="Z224" s="3"/>
      <c r="AA224" s="3"/>
      <c r="AB224" s="3"/>
      <c r="AC224" s="3"/>
    </row>
    <row r="225" spans="10:29">
      <c r="J225" s="3"/>
      <c r="K225" s="3"/>
      <c r="L225" s="3"/>
      <c r="M225" s="3"/>
      <c r="N225" s="3"/>
      <c r="O225" s="3"/>
      <c r="P225" s="3"/>
      <c r="Q225" s="3"/>
      <c r="R225" s="3"/>
      <c r="S225" s="3"/>
      <c r="T225" s="3"/>
      <c r="U225" s="3"/>
      <c r="V225" s="3"/>
      <c r="W225" s="3"/>
      <c r="X225" s="3"/>
      <c r="Y225" s="3"/>
      <c r="Z225" s="3"/>
      <c r="AA225" s="3"/>
      <c r="AB225" s="3"/>
      <c r="AC225" s="3"/>
    </row>
    <row r="226" spans="10:29">
      <c r="J226" s="3"/>
      <c r="K226" s="3"/>
      <c r="L226" s="3"/>
      <c r="M226" s="3"/>
      <c r="N226" s="3"/>
      <c r="O226" s="3"/>
      <c r="P226" s="3"/>
      <c r="Q226" s="3"/>
      <c r="R226" s="3"/>
      <c r="S226" s="3"/>
      <c r="T226" s="3"/>
      <c r="U226" s="3"/>
      <c r="V226" s="3"/>
      <c r="W226" s="3"/>
      <c r="X226" s="3"/>
      <c r="Y226" s="3"/>
      <c r="Z226" s="3"/>
      <c r="AA226" s="3"/>
      <c r="AB226" s="3"/>
      <c r="AC226" s="3"/>
    </row>
    <row r="227" spans="10:29">
      <c r="J227" s="3"/>
      <c r="K227" s="3"/>
      <c r="L227" s="3"/>
      <c r="M227" s="3"/>
      <c r="N227" s="3"/>
      <c r="O227" s="3"/>
      <c r="P227" s="3"/>
      <c r="Q227" s="3"/>
      <c r="R227" s="3"/>
      <c r="S227" s="3"/>
      <c r="T227" s="3"/>
      <c r="U227" s="3"/>
      <c r="V227" s="3"/>
      <c r="W227" s="3"/>
      <c r="X227" s="3"/>
      <c r="Y227" s="3"/>
      <c r="Z227" s="3"/>
      <c r="AA227" s="3"/>
      <c r="AB227" s="3"/>
      <c r="AC227" s="3"/>
    </row>
    <row r="228" spans="10:29">
      <c r="J228" s="3"/>
      <c r="K228" s="3"/>
      <c r="L228" s="3"/>
      <c r="M228" s="3"/>
      <c r="N228" s="3"/>
      <c r="O228" s="3"/>
      <c r="P228" s="3"/>
      <c r="Q228" s="3"/>
      <c r="R228" s="3"/>
      <c r="S228" s="3"/>
      <c r="T228" s="3"/>
      <c r="U228" s="3"/>
      <c r="V228" s="3"/>
      <c r="W228" s="3"/>
      <c r="X228" s="3"/>
      <c r="Y228" s="3"/>
      <c r="Z228" s="3"/>
      <c r="AA228" s="3"/>
      <c r="AB228" s="3"/>
      <c r="AC228" s="3"/>
    </row>
    <row r="229" spans="10:29">
      <c r="J229" s="3"/>
      <c r="K229" s="3"/>
      <c r="L229" s="3"/>
      <c r="M229" s="3"/>
      <c r="N229" s="3"/>
      <c r="O229" s="3"/>
      <c r="P229" s="3"/>
      <c r="Q229" s="3"/>
      <c r="R229" s="3"/>
      <c r="S229" s="3"/>
      <c r="T229" s="3"/>
      <c r="U229" s="3"/>
      <c r="V229" s="3"/>
      <c r="W229" s="3"/>
      <c r="X229" s="3"/>
      <c r="Y229" s="3"/>
      <c r="Z229" s="3"/>
      <c r="AA229" s="3"/>
      <c r="AB229" s="3"/>
      <c r="AC229" s="3"/>
    </row>
    <row r="230" spans="10:29">
      <c r="J230" s="3"/>
      <c r="K230" s="3"/>
      <c r="L230" s="3"/>
      <c r="M230" s="3"/>
      <c r="N230" s="3"/>
      <c r="O230" s="3"/>
      <c r="P230" s="3"/>
      <c r="Q230" s="3"/>
      <c r="R230" s="3"/>
      <c r="S230" s="3"/>
      <c r="T230" s="3"/>
      <c r="U230" s="3"/>
      <c r="V230" s="3"/>
      <c r="W230" s="3"/>
      <c r="X230" s="3"/>
      <c r="Y230" s="3"/>
      <c r="Z230" s="3"/>
      <c r="AA230" s="3"/>
      <c r="AB230" s="3"/>
      <c r="AC230" s="3"/>
    </row>
    <row r="231" spans="10:29">
      <c r="J231" s="3"/>
      <c r="K231" s="3"/>
      <c r="L231" s="3"/>
      <c r="M231" s="3"/>
      <c r="N231" s="3"/>
      <c r="O231" s="3"/>
      <c r="P231" s="3"/>
      <c r="Q231" s="3"/>
      <c r="R231" s="3"/>
      <c r="S231" s="3"/>
      <c r="T231" s="3"/>
      <c r="U231" s="3"/>
      <c r="V231" s="3"/>
      <c r="W231" s="3"/>
      <c r="X231" s="3"/>
      <c r="Y231" s="3"/>
      <c r="Z231" s="3"/>
      <c r="AA231" s="3"/>
      <c r="AB231" s="3"/>
      <c r="AC231" s="3"/>
    </row>
    <row r="232" spans="10:29">
      <c r="J232" s="3"/>
      <c r="K232" s="3"/>
      <c r="L232" s="3"/>
      <c r="M232" s="3"/>
      <c r="N232" s="3"/>
      <c r="O232" s="3"/>
      <c r="P232" s="3"/>
      <c r="Q232" s="3"/>
      <c r="R232" s="3"/>
      <c r="S232" s="3"/>
      <c r="T232" s="3"/>
      <c r="U232" s="3"/>
      <c r="V232" s="3"/>
      <c r="W232" s="3"/>
      <c r="X232" s="3"/>
      <c r="Y232" s="3"/>
      <c r="Z232" s="3"/>
      <c r="AA232" s="3"/>
      <c r="AB232" s="3"/>
      <c r="AC232" s="3"/>
    </row>
    <row r="233" spans="10:29">
      <c r="J233" s="3"/>
      <c r="K233" s="3"/>
      <c r="L233" s="3"/>
      <c r="M233" s="3"/>
      <c r="N233" s="3"/>
      <c r="O233" s="3"/>
      <c r="P233" s="3"/>
      <c r="Q233" s="3"/>
      <c r="R233" s="3"/>
      <c r="S233" s="3"/>
      <c r="T233" s="3"/>
      <c r="U233" s="3"/>
      <c r="V233" s="3"/>
      <c r="W233" s="3"/>
      <c r="X233" s="3"/>
      <c r="Y233" s="3"/>
      <c r="Z233" s="3"/>
      <c r="AA233" s="3"/>
      <c r="AB233" s="3"/>
      <c r="AC233" s="3"/>
    </row>
    <row r="234" spans="10:29">
      <c r="J234" s="3"/>
      <c r="K234" s="3"/>
      <c r="L234" s="3"/>
      <c r="M234" s="3"/>
      <c r="N234" s="3"/>
      <c r="O234" s="3"/>
      <c r="P234" s="3"/>
      <c r="Q234" s="3"/>
      <c r="R234" s="3"/>
      <c r="S234" s="3"/>
      <c r="T234" s="3"/>
      <c r="U234" s="3"/>
      <c r="V234" s="3"/>
      <c r="W234" s="3"/>
      <c r="X234" s="3"/>
      <c r="Y234" s="3"/>
      <c r="Z234" s="3"/>
      <c r="AA234" s="3"/>
      <c r="AB234" s="3"/>
      <c r="AC234" s="3"/>
    </row>
    <row r="235" spans="10:29">
      <c r="J235" s="3"/>
      <c r="K235" s="3"/>
      <c r="L235" s="3"/>
      <c r="M235" s="3"/>
      <c r="N235" s="3"/>
      <c r="O235" s="3"/>
      <c r="P235" s="3"/>
      <c r="Q235" s="3"/>
      <c r="R235" s="3"/>
      <c r="S235" s="3"/>
      <c r="T235" s="3"/>
      <c r="U235" s="3"/>
      <c r="V235" s="3"/>
      <c r="W235" s="3"/>
      <c r="X235" s="3"/>
      <c r="Y235" s="3"/>
      <c r="Z235" s="3"/>
      <c r="AA235" s="3"/>
      <c r="AB235" s="3"/>
      <c r="AC235" s="3"/>
    </row>
    <row r="236" spans="10:29">
      <c r="J236" s="3"/>
      <c r="K236" s="3"/>
      <c r="L236" s="3"/>
      <c r="M236" s="3"/>
      <c r="N236" s="3"/>
      <c r="O236" s="3"/>
      <c r="P236" s="3"/>
      <c r="Q236" s="3"/>
      <c r="R236" s="3"/>
      <c r="S236" s="3"/>
      <c r="T236" s="3"/>
      <c r="U236" s="3"/>
      <c r="V236" s="3"/>
      <c r="W236" s="3"/>
      <c r="X236" s="3"/>
      <c r="Y236" s="3"/>
      <c r="Z236" s="3"/>
      <c r="AA236" s="3"/>
      <c r="AB236" s="3"/>
      <c r="AC236" s="3"/>
    </row>
    <row r="237" spans="10:29">
      <c r="J237" s="3"/>
      <c r="K237" s="3"/>
      <c r="L237" s="3"/>
      <c r="M237" s="3"/>
      <c r="N237" s="3"/>
      <c r="O237" s="3"/>
      <c r="P237" s="3"/>
      <c r="Q237" s="3"/>
      <c r="R237" s="3"/>
      <c r="S237" s="3"/>
      <c r="T237" s="3"/>
      <c r="U237" s="3"/>
      <c r="V237" s="3"/>
      <c r="W237" s="3"/>
      <c r="X237" s="3"/>
      <c r="Y237" s="3"/>
      <c r="Z237" s="3"/>
      <c r="AA237" s="3"/>
      <c r="AB237" s="3"/>
      <c r="AC237" s="3"/>
    </row>
    <row r="238" spans="10:29">
      <c r="J238" s="3"/>
      <c r="K238" s="3"/>
      <c r="L238" s="3"/>
      <c r="M238" s="3"/>
      <c r="N238" s="3"/>
      <c r="O238" s="3"/>
      <c r="P238" s="3"/>
      <c r="Q238" s="3"/>
      <c r="R238" s="3"/>
      <c r="S238" s="3"/>
      <c r="T238" s="3"/>
      <c r="U238" s="3"/>
      <c r="V238" s="3"/>
      <c r="W238" s="3"/>
      <c r="X238" s="3"/>
      <c r="Y238" s="3"/>
      <c r="Z238" s="3"/>
      <c r="AA238" s="3"/>
      <c r="AB238" s="3"/>
      <c r="AC238" s="3"/>
    </row>
    <row r="239" spans="10:29">
      <c r="J239" s="3"/>
      <c r="K239" s="3"/>
      <c r="L239" s="3"/>
      <c r="M239" s="3"/>
      <c r="N239" s="3"/>
      <c r="O239" s="3"/>
      <c r="P239" s="3"/>
      <c r="Q239" s="3"/>
      <c r="R239" s="3"/>
      <c r="S239" s="3"/>
      <c r="T239" s="3"/>
      <c r="U239" s="3"/>
      <c r="V239" s="3"/>
      <c r="W239" s="3"/>
      <c r="X239" s="3"/>
      <c r="Y239" s="3"/>
      <c r="Z239" s="3"/>
      <c r="AA239" s="3"/>
      <c r="AB239" s="3"/>
      <c r="AC239" s="3"/>
    </row>
    <row r="240" spans="10:29">
      <c r="J240" s="3"/>
      <c r="K240" s="3"/>
      <c r="L240" s="3"/>
      <c r="M240" s="3"/>
      <c r="N240" s="3"/>
      <c r="O240" s="3"/>
      <c r="P240" s="3"/>
      <c r="Q240" s="3"/>
      <c r="R240" s="3"/>
      <c r="S240" s="3"/>
      <c r="T240" s="3"/>
      <c r="U240" s="3"/>
      <c r="V240" s="3"/>
      <c r="W240" s="3"/>
      <c r="X240" s="3"/>
      <c r="Y240" s="3"/>
      <c r="Z240" s="3"/>
      <c r="AA240" s="3"/>
      <c r="AB240" s="3"/>
      <c r="AC240" s="3"/>
    </row>
    <row r="241" spans="10:29">
      <c r="J241" s="3"/>
      <c r="K241" s="3"/>
      <c r="L241" s="3"/>
      <c r="M241" s="3"/>
      <c r="N241" s="3"/>
      <c r="O241" s="3"/>
      <c r="P241" s="3"/>
      <c r="Q241" s="3"/>
      <c r="R241" s="3"/>
      <c r="S241" s="3"/>
      <c r="T241" s="3"/>
      <c r="U241" s="3"/>
      <c r="V241" s="3"/>
      <c r="W241" s="3"/>
      <c r="X241" s="3"/>
      <c r="Y241" s="3"/>
      <c r="Z241" s="3"/>
      <c r="AA241" s="3"/>
      <c r="AB241" s="3"/>
      <c r="AC241" s="3"/>
    </row>
    <row r="242" spans="10:29">
      <c r="J242" s="3"/>
      <c r="K242" s="3"/>
      <c r="L242" s="3"/>
      <c r="M242" s="3"/>
      <c r="N242" s="3"/>
      <c r="O242" s="3"/>
      <c r="P242" s="3"/>
      <c r="Q242" s="3"/>
      <c r="R242" s="3"/>
      <c r="S242" s="3"/>
      <c r="T242" s="3"/>
      <c r="U242" s="3"/>
      <c r="V242" s="3"/>
      <c r="W242" s="3"/>
      <c r="X242" s="3"/>
      <c r="Y242" s="3"/>
      <c r="Z242" s="3"/>
      <c r="AA242" s="3"/>
      <c r="AB242" s="3"/>
      <c r="AC242" s="3"/>
    </row>
    <row r="243" spans="10:29">
      <c r="J243" s="3"/>
      <c r="K243" s="3"/>
      <c r="L243" s="3"/>
      <c r="M243" s="3"/>
      <c r="N243" s="3"/>
      <c r="O243" s="3"/>
      <c r="P243" s="3"/>
      <c r="Q243" s="3"/>
      <c r="R243" s="3"/>
      <c r="S243" s="3"/>
      <c r="T243" s="3"/>
      <c r="U243" s="3"/>
      <c r="V243" s="3"/>
      <c r="W243" s="3"/>
      <c r="X243" s="3"/>
      <c r="Y243" s="3"/>
      <c r="Z243" s="3"/>
      <c r="AA243" s="3"/>
      <c r="AB243" s="3"/>
      <c r="AC243" s="3"/>
    </row>
    <row r="244" spans="10:29">
      <c r="J244" s="3"/>
      <c r="K244" s="3"/>
      <c r="L244" s="3"/>
      <c r="M244" s="3"/>
      <c r="N244" s="3"/>
      <c r="O244" s="3"/>
      <c r="P244" s="3"/>
      <c r="Q244" s="3"/>
      <c r="R244" s="3"/>
      <c r="S244" s="3"/>
      <c r="T244" s="3"/>
      <c r="U244" s="3"/>
      <c r="V244" s="3"/>
      <c r="W244" s="3"/>
      <c r="X244" s="3"/>
      <c r="Y244" s="3"/>
      <c r="Z244" s="3"/>
      <c r="AA244" s="3"/>
      <c r="AB244" s="3"/>
      <c r="AC244" s="3"/>
    </row>
    <row r="245" spans="10:29">
      <c r="J245" s="3"/>
      <c r="K245" s="3"/>
      <c r="L245" s="3"/>
      <c r="M245" s="3"/>
      <c r="N245" s="3"/>
      <c r="O245" s="3"/>
      <c r="P245" s="3"/>
      <c r="Q245" s="3"/>
      <c r="R245" s="3"/>
      <c r="S245" s="3"/>
      <c r="T245" s="3"/>
      <c r="U245" s="3"/>
      <c r="V245" s="3"/>
      <c r="W245" s="3"/>
      <c r="X245" s="3"/>
      <c r="Y245" s="3"/>
      <c r="Z245" s="3"/>
      <c r="AA245" s="3"/>
      <c r="AB245" s="3"/>
      <c r="AC245" s="3"/>
    </row>
    <row r="246" spans="10:29">
      <c r="J246" s="3"/>
      <c r="K246" s="3"/>
      <c r="L246" s="3"/>
      <c r="M246" s="3"/>
      <c r="N246" s="3"/>
      <c r="O246" s="3"/>
      <c r="P246" s="3"/>
      <c r="Q246" s="3"/>
      <c r="R246" s="3"/>
      <c r="S246" s="3"/>
      <c r="T246" s="3"/>
      <c r="U246" s="3"/>
      <c r="V246" s="3"/>
      <c r="W246" s="3"/>
      <c r="X246" s="3"/>
      <c r="Y246" s="3"/>
      <c r="Z246" s="3"/>
      <c r="AA246" s="3"/>
      <c r="AB246" s="3"/>
      <c r="AC246" s="3"/>
    </row>
    <row r="247" spans="10:29">
      <c r="J247" s="3"/>
      <c r="K247" s="3"/>
      <c r="L247" s="3"/>
      <c r="M247" s="3"/>
      <c r="N247" s="3"/>
      <c r="O247" s="3"/>
      <c r="P247" s="3"/>
      <c r="Q247" s="3"/>
      <c r="R247" s="3"/>
      <c r="S247" s="3"/>
      <c r="T247" s="3"/>
      <c r="U247" s="3"/>
      <c r="V247" s="3"/>
      <c r="W247" s="3"/>
      <c r="X247" s="3"/>
      <c r="Y247" s="3"/>
      <c r="Z247" s="3"/>
      <c r="AA247" s="3"/>
      <c r="AB247" s="3"/>
      <c r="AC247" s="3"/>
    </row>
    <row r="248" spans="10:29">
      <c r="J248" s="3"/>
      <c r="K248" s="3"/>
      <c r="L248" s="3"/>
      <c r="M248" s="3"/>
      <c r="N248" s="3"/>
      <c r="O248" s="3"/>
      <c r="P248" s="3"/>
      <c r="Q248" s="3"/>
      <c r="R248" s="3"/>
      <c r="S248" s="3"/>
      <c r="T248" s="3"/>
      <c r="U248" s="3"/>
      <c r="V248" s="3"/>
      <c r="W248" s="3"/>
      <c r="X248" s="3"/>
      <c r="Y248" s="3"/>
      <c r="Z248" s="3"/>
      <c r="AA248" s="3"/>
      <c r="AB248" s="3"/>
      <c r="AC248" s="3"/>
    </row>
    <row r="249" spans="10:29">
      <c r="J249" s="3"/>
      <c r="K249" s="3"/>
      <c r="L249" s="3"/>
      <c r="M249" s="3"/>
      <c r="N249" s="3"/>
      <c r="O249" s="3"/>
      <c r="P249" s="3"/>
      <c r="Q249" s="3"/>
      <c r="R249" s="3"/>
      <c r="S249" s="3"/>
      <c r="T249" s="3"/>
      <c r="U249" s="3"/>
      <c r="V249" s="3"/>
      <c r="W249" s="3"/>
      <c r="X249" s="3"/>
      <c r="Y249" s="3"/>
      <c r="Z249" s="3"/>
      <c r="AA249" s="3"/>
      <c r="AB249" s="3"/>
      <c r="AC249" s="3"/>
    </row>
    <row r="250" spans="10:29">
      <c r="J250" s="3"/>
      <c r="K250" s="3"/>
      <c r="L250" s="3"/>
      <c r="M250" s="3"/>
      <c r="N250" s="3"/>
      <c r="O250" s="3"/>
      <c r="P250" s="3"/>
      <c r="Q250" s="3"/>
      <c r="R250" s="3"/>
      <c r="S250" s="3"/>
      <c r="T250" s="3"/>
      <c r="U250" s="3"/>
      <c r="V250" s="3"/>
      <c r="W250" s="3"/>
      <c r="X250" s="3"/>
      <c r="Y250" s="3"/>
      <c r="Z250" s="3"/>
      <c r="AA250" s="3"/>
      <c r="AB250" s="3"/>
      <c r="AC250" s="3"/>
    </row>
    <row r="251" spans="10:29">
      <c r="J251" s="3"/>
      <c r="K251" s="3"/>
      <c r="L251" s="3"/>
      <c r="M251" s="3"/>
      <c r="N251" s="3"/>
      <c r="O251" s="3"/>
      <c r="P251" s="3"/>
      <c r="Q251" s="3"/>
      <c r="R251" s="3"/>
      <c r="S251" s="3"/>
      <c r="T251" s="3"/>
      <c r="U251" s="3"/>
      <c r="V251" s="3"/>
      <c r="W251" s="3"/>
      <c r="X251" s="3"/>
      <c r="Y251" s="3"/>
      <c r="Z251" s="3"/>
      <c r="AA251" s="3"/>
      <c r="AB251" s="3"/>
      <c r="AC251" s="3"/>
    </row>
    <row r="252" spans="10:29">
      <c r="J252" s="3"/>
      <c r="K252" s="3"/>
      <c r="L252" s="3"/>
      <c r="M252" s="3"/>
      <c r="N252" s="3"/>
      <c r="O252" s="3"/>
      <c r="P252" s="3"/>
      <c r="Q252" s="3"/>
      <c r="R252" s="3"/>
      <c r="S252" s="3"/>
      <c r="T252" s="3"/>
      <c r="U252" s="3"/>
      <c r="V252" s="3"/>
      <c r="W252" s="3"/>
      <c r="X252" s="3"/>
      <c r="Y252" s="3"/>
      <c r="Z252" s="3"/>
      <c r="AA252" s="3"/>
      <c r="AB252" s="3"/>
      <c r="AC252" s="3"/>
    </row>
    <row r="253" spans="10:29">
      <c r="J253" s="3"/>
      <c r="K253" s="3"/>
      <c r="L253" s="3"/>
      <c r="M253" s="3"/>
      <c r="N253" s="3"/>
      <c r="O253" s="3"/>
      <c r="P253" s="3"/>
      <c r="Q253" s="3"/>
      <c r="R253" s="3"/>
      <c r="S253" s="3"/>
      <c r="T253" s="3"/>
      <c r="U253" s="3"/>
      <c r="V253" s="3"/>
      <c r="W253" s="3"/>
      <c r="X253" s="3"/>
      <c r="Y253" s="3"/>
      <c r="Z253" s="3"/>
      <c r="AA253" s="3"/>
      <c r="AB253" s="3"/>
      <c r="AC253" s="3"/>
    </row>
    <row r="254" spans="10:29">
      <c r="J254" s="3"/>
      <c r="K254" s="3"/>
      <c r="L254" s="3"/>
      <c r="M254" s="3"/>
      <c r="N254" s="3"/>
      <c r="O254" s="3"/>
      <c r="P254" s="3"/>
      <c r="Q254" s="3"/>
      <c r="R254" s="3"/>
      <c r="S254" s="3"/>
      <c r="T254" s="3"/>
      <c r="U254" s="3"/>
      <c r="V254" s="3"/>
      <c r="W254" s="3"/>
      <c r="X254" s="3"/>
      <c r="Y254" s="3"/>
      <c r="Z254" s="3"/>
      <c r="AA254" s="3"/>
      <c r="AB254" s="3"/>
      <c r="AC254" s="3"/>
    </row>
    <row r="255" spans="10:29">
      <c r="J255" s="3"/>
      <c r="K255" s="3"/>
      <c r="L255" s="3"/>
      <c r="M255" s="3"/>
      <c r="N255" s="3"/>
      <c r="O255" s="3"/>
      <c r="P255" s="3"/>
      <c r="Q255" s="3"/>
      <c r="R255" s="3"/>
      <c r="S255" s="3"/>
      <c r="T255" s="3"/>
      <c r="U255" s="3"/>
      <c r="V255" s="3"/>
      <c r="W255" s="3"/>
      <c r="X255" s="3"/>
      <c r="Y255" s="3"/>
      <c r="Z255" s="3"/>
      <c r="AA255" s="3"/>
      <c r="AB255" s="3"/>
      <c r="AC255" s="3"/>
    </row>
    <row r="256" spans="10:29">
      <c r="J256" s="3"/>
      <c r="K256" s="3"/>
      <c r="L256" s="3"/>
      <c r="M256" s="3"/>
      <c r="N256" s="3"/>
      <c r="O256" s="3"/>
      <c r="P256" s="3"/>
      <c r="Q256" s="3"/>
      <c r="R256" s="3"/>
      <c r="S256" s="3"/>
      <c r="T256" s="3"/>
      <c r="U256" s="3"/>
      <c r="V256" s="3"/>
      <c r="W256" s="3"/>
      <c r="X256" s="3"/>
      <c r="Y256" s="3"/>
      <c r="Z256" s="3"/>
      <c r="AA256" s="3"/>
      <c r="AB256" s="3"/>
      <c r="AC256" s="3"/>
    </row>
    <row r="257" spans="10:29">
      <c r="J257" s="3"/>
      <c r="K257" s="3"/>
      <c r="L257" s="3"/>
      <c r="M257" s="3"/>
      <c r="N257" s="3"/>
      <c r="O257" s="3"/>
      <c r="P257" s="3"/>
      <c r="Q257" s="3"/>
      <c r="R257" s="3"/>
      <c r="S257" s="3"/>
      <c r="T257" s="3"/>
      <c r="U257" s="3"/>
      <c r="V257" s="3"/>
      <c r="W257" s="3"/>
      <c r="X257" s="3"/>
      <c r="Y257" s="3"/>
      <c r="Z257" s="3"/>
      <c r="AA257" s="3"/>
      <c r="AB257" s="3"/>
      <c r="AC257" s="3"/>
    </row>
    <row r="258" spans="10:29">
      <c r="J258" s="3"/>
      <c r="K258" s="3"/>
      <c r="L258" s="3"/>
      <c r="M258" s="3"/>
      <c r="N258" s="3"/>
      <c r="O258" s="3"/>
      <c r="P258" s="3"/>
      <c r="Q258" s="3"/>
      <c r="R258" s="3"/>
      <c r="S258" s="3"/>
      <c r="T258" s="3"/>
      <c r="U258" s="3"/>
      <c r="V258" s="3"/>
      <c r="W258" s="3"/>
      <c r="X258" s="3"/>
      <c r="Y258" s="3"/>
      <c r="Z258" s="3"/>
      <c r="AA258" s="3"/>
      <c r="AB258" s="3"/>
      <c r="AC258" s="3"/>
    </row>
    <row r="259" spans="10:29">
      <c r="J259" s="3"/>
      <c r="K259" s="3"/>
      <c r="L259" s="3"/>
      <c r="M259" s="3"/>
      <c r="N259" s="3"/>
      <c r="O259" s="3"/>
      <c r="P259" s="3"/>
      <c r="Q259" s="3"/>
      <c r="R259" s="3"/>
      <c r="S259" s="3"/>
      <c r="T259" s="3"/>
      <c r="U259" s="3"/>
      <c r="V259" s="3"/>
      <c r="W259" s="3"/>
      <c r="X259" s="3"/>
      <c r="Y259" s="3"/>
      <c r="Z259" s="3"/>
      <c r="AA259" s="3"/>
      <c r="AB259" s="3"/>
      <c r="AC259" s="3"/>
    </row>
    <row r="260" spans="10:29">
      <c r="J260" s="3"/>
      <c r="K260" s="3"/>
      <c r="L260" s="3"/>
      <c r="M260" s="3"/>
      <c r="N260" s="3"/>
      <c r="O260" s="3"/>
      <c r="P260" s="3"/>
      <c r="Q260" s="3"/>
      <c r="R260" s="3"/>
      <c r="S260" s="3"/>
      <c r="T260" s="3"/>
      <c r="U260" s="3"/>
      <c r="V260" s="3"/>
      <c r="W260" s="3"/>
      <c r="X260" s="3"/>
      <c r="Y260" s="3"/>
      <c r="Z260" s="3"/>
      <c r="AA260" s="3"/>
      <c r="AB260" s="3"/>
      <c r="AC260" s="3"/>
    </row>
    <row r="261" spans="10:29">
      <c r="J261" s="3"/>
      <c r="K261" s="3"/>
      <c r="L261" s="3"/>
      <c r="M261" s="3"/>
      <c r="N261" s="3"/>
      <c r="O261" s="3"/>
      <c r="P261" s="3"/>
      <c r="Q261" s="3"/>
      <c r="R261" s="3"/>
      <c r="S261" s="3"/>
      <c r="T261" s="3"/>
      <c r="U261" s="3"/>
      <c r="V261" s="3"/>
      <c r="W261" s="3"/>
      <c r="X261" s="3"/>
      <c r="Y261" s="3"/>
      <c r="Z261" s="3"/>
      <c r="AA261" s="3"/>
      <c r="AB261" s="3"/>
      <c r="AC261" s="3"/>
    </row>
    <row r="262" spans="10:29">
      <c r="J262" s="3"/>
      <c r="K262" s="3"/>
      <c r="L262" s="3"/>
      <c r="M262" s="3"/>
      <c r="N262" s="3"/>
      <c r="O262" s="3"/>
      <c r="P262" s="3"/>
      <c r="Q262" s="3"/>
      <c r="R262" s="3"/>
      <c r="S262" s="3"/>
      <c r="T262" s="3"/>
      <c r="U262" s="3"/>
      <c r="V262" s="3"/>
      <c r="W262" s="3"/>
      <c r="X262" s="3"/>
      <c r="Y262" s="3"/>
      <c r="Z262" s="3"/>
      <c r="AA262" s="3"/>
      <c r="AB262" s="3"/>
      <c r="AC262" s="3"/>
    </row>
    <row r="263" spans="10:29">
      <c r="J263" s="3"/>
      <c r="K263" s="3"/>
      <c r="L263" s="3"/>
      <c r="M263" s="3"/>
      <c r="N263" s="3"/>
      <c r="O263" s="3"/>
      <c r="P263" s="3"/>
      <c r="Q263" s="3"/>
      <c r="R263" s="3"/>
      <c r="S263" s="3"/>
      <c r="T263" s="3"/>
      <c r="U263" s="3"/>
      <c r="V263" s="3"/>
      <c r="W263" s="3"/>
      <c r="X263" s="3"/>
      <c r="Y263" s="3"/>
      <c r="Z263" s="3"/>
      <c r="AA263" s="3"/>
      <c r="AB263" s="3"/>
      <c r="AC263" s="3"/>
    </row>
    <row r="264" spans="10:29">
      <c r="J264" s="3"/>
      <c r="K264" s="3"/>
      <c r="L264" s="3"/>
      <c r="M264" s="3"/>
      <c r="N264" s="3"/>
      <c r="O264" s="3"/>
      <c r="P264" s="3"/>
      <c r="Q264" s="3"/>
      <c r="R264" s="3"/>
      <c r="S264" s="3"/>
      <c r="T264" s="3"/>
      <c r="U264" s="3"/>
      <c r="V264" s="3"/>
      <c r="W264" s="3"/>
      <c r="X264" s="3"/>
      <c r="Y264" s="3"/>
      <c r="Z264" s="3"/>
      <c r="AA264" s="3"/>
      <c r="AB264" s="3"/>
      <c r="AC264" s="3"/>
    </row>
    <row r="265" spans="10:29">
      <c r="J265" s="3"/>
      <c r="K265" s="3"/>
      <c r="L265" s="3"/>
      <c r="M265" s="3"/>
      <c r="N265" s="3"/>
      <c r="O265" s="3"/>
      <c r="P265" s="3"/>
      <c r="Q265" s="3"/>
      <c r="R265" s="3"/>
      <c r="S265" s="3"/>
      <c r="T265" s="3"/>
      <c r="U265" s="3"/>
      <c r="V265" s="3"/>
      <c r="W265" s="3"/>
      <c r="X265" s="3"/>
      <c r="Y265" s="3"/>
      <c r="Z265" s="3"/>
      <c r="AA265" s="3"/>
      <c r="AB265" s="3"/>
      <c r="AC265" s="3"/>
    </row>
    <row r="266" spans="10:29">
      <c r="J266" s="3"/>
      <c r="K266" s="3"/>
      <c r="L266" s="3"/>
      <c r="M266" s="3"/>
      <c r="N266" s="3"/>
      <c r="O266" s="3"/>
      <c r="P266" s="3"/>
      <c r="Q266" s="3"/>
      <c r="R266" s="3"/>
      <c r="S266" s="3"/>
      <c r="T266" s="3"/>
      <c r="U266" s="3"/>
      <c r="V266" s="3"/>
      <c r="W266" s="3"/>
      <c r="X266" s="3"/>
      <c r="Y266" s="3"/>
      <c r="Z266" s="3"/>
      <c r="AA266" s="3"/>
      <c r="AB266" s="3"/>
      <c r="AC266" s="3"/>
    </row>
    <row r="267" spans="10:29">
      <c r="J267" s="3"/>
      <c r="K267" s="3"/>
      <c r="L267" s="3"/>
      <c r="M267" s="3"/>
      <c r="N267" s="3"/>
      <c r="O267" s="3"/>
      <c r="P267" s="3"/>
      <c r="Q267" s="3"/>
      <c r="R267" s="3"/>
      <c r="S267" s="3"/>
      <c r="T267" s="3"/>
      <c r="U267" s="3"/>
      <c r="V267" s="3"/>
      <c r="W267" s="3"/>
      <c r="X267" s="3"/>
      <c r="Y267" s="3"/>
      <c r="Z267" s="3"/>
      <c r="AA267" s="3"/>
      <c r="AB267" s="3"/>
      <c r="AC267" s="3"/>
    </row>
    <row r="268" spans="10:29">
      <c r="J268" s="3"/>
      <c r="K268" s="3"/>
      <c r="L268" s="3"/>
      <c r="M268" s="3"/>
      <c r="N268" s="3"/>
      <c r="O268" s="3"/>
      <c r="P268" s="3"/>
      <c r="Q268" s="3"/>
      <c r="R268" s="3"/>
      <c r="S268" s="3"/>
      <c r="T268" s="3"/>
      <c r="U268" s="3"/>
      <c r="V268" s="3"/>
      <c r="W268" s="3"/>
      <c r="X268" s="3"/>
      <c r="Y268" s="3"/>
      <c r="Z268" s="3"/>
      <c r="AA268" s="3"/>
      <c r="AB268" s="3"/>
      <c r="AC268" s="3"/>
    </row>
    <row r="269" spans="10:29">
      <c r="J269" s="3"/>
      <c r="K269" s="3"/>
      <c r="L269" s="3"/>
      <c r="M269" s="3"/>
      <c r="N269" s="3"/>
      <c r="O269" s="3"/>
      <c r="P269" s="3"/>
      <c r="Q269" s="3"/>
      <c r="R269" s="3"/>
      <c r="S269" s="3"/>
      <c r="T269" s="3"/>
      <c r="U269" s="3"/>
      <c r="V269" s="3"/>
      <c r="W269" s="3"/>
      <c r="X269" s="3"/>
      <c r="Y269" s="3"/>
      <c r="Z269" s="3"/>
      <c r="AA269" s="3"/>
      <c r="AB269" s="3"/>
      <c r="AC269" s="3"/>
    </row>
    <row r="270" spans="10:29">
      <c r="J270" s="3"/>
      <c r="K270" s="3"/>
      <c r="L270" s="3"/>
      <c r="M270" s="3"/>
      <c r="N270" s="3"/>
      <c r="O270" s="3"/>
      <c r="P270" s="3"/>
      <c r="Q270" s="3"/>
      <c r="R270" s="3"/>
      <c r="S270" s="3"/>
      <c r="T270" s="3"/>
      <c r="U270" s="3"/>
      <c r="V270" s="3"/>
      <c r="W270" s="3"/>
      <c r="X270" s="3"/>
      <c r="Y270" s="3"/>
      <c r="Z270" s="3"/>
      <c r="AA270" s="3"/>
      <c r="AB270" s="3"/>
      <c r="AC270" s="3"/>
    </row>
    <row r="271" spans="10:29">
      <c r="J271" s="3"/>
      <c r="K271" s="3"/>
      <c r="L271" s="3"/>
      <c r="M271" s="3"/>
      <c r="N271" s="3"/>
      <c r="O271" s="3"/>
      <c r="P271" s="3"/>
      <c r="Q271" s="3"/>
      <c r="R271" s="3"/>
      <c r="S271" s="3"/>
      <c r="T271" s="3"/>
      <c r="U271" s="3"/>
      <c r="V271" s="3"/>
      <c r="W271" s="3"/>
      <c r="X271" s="3"/>
      <c r="Y271" s="3"/>
      <c r="Z271" s="3"/>
      <c r="AA271" s="3"/>
      <c r="AB271" s="3"/>
      <c r="AC271" s="3"/>
    </row>
    <row r="272" spans="10:29">
      <c r="J272" s="3"/>
      <c r="K272" s="3"/>
      <c r="L272" s="3"/>
      <c r="M272" s="3"/>
      <c r="N272" s="3"/>
      <c r="O272" s="3"/>
      <c r="P272" s="3"/>
      <c r="Q272" s="3"/>
      <c r="R272" s="3"/>
      <c r="S272" s="3"/>
      <c r="T272" s="3"/>
      <c r="U272" s="3"/>
      <c r="V272" s="3"/>
      <c r="W272" s="3"/>
      <c r="X272" s="3"/>
      <c r="Y272" s="3"/>
      <c r="Z272" s="3"/>
      <c r="AA272" s="3"/>
      <c r="AB272" s="3"/>
      <c r="AC272" s="3"/>
    </row>
    <row r="273" spans="10:29">
      <c r="J273" s="3"/>
      <c r="K273" s="3"/>
      <c r="L273" s="3"/>
      <c r="M273" s="3"/>
      <c r="N273" s="3"/>
      <c r="O273" s="3"/>
      <c r="P273" s="3"/>
      <c r="Q273" s="3"/>
      <c r="R273" s="3"/>
      <c r="S273" s="3"/>
      <c r="T273" s="3"/>
      <c r="U273" s="3"/>
      <c r="V273" s="3"/>
      <c r="W273" s="3"/>
      <c r="X273" s="3"/>
      <c r="Y273" s="3"/>
      <c r="Z273" s="3"/>
      <c r="AA273" s="3"/>
      <c r="AB273" s="3"/>
      <c r="AC273" s="3"/>
    </row>
    <row r="274" spans="10:29">
      <c r="J274" s="3"/>
      <c r="K274" s="3"/>
      <c r="L274" s="3"/>
      <c r="M274" s="3"/>
      <c r="N274" s="3"/>
      <c r="O274" s="3"/>
      <c r="P274" s="3"/>
      <c r="Q274" s="3"/>
      <c r="R274" s="3"/>
      <c r="S274" s="3"/>
      <c r="T274" s="3"/>
      <c r="U274" s="3"/>
      <c r="V274" s="3"/>
      <c r="W274" s="3"/>
      <c r="X274" s="3"/>
      <c r="Y274" s="3"/>
      <c r="Z274" s="3"/>
      <c r="AA274" s="3"/>
      <c r="AB274" s="3"/>
      <c r="AC274" s="3"/>
    </row>
    <row r="275" spans="10:29">
      <c r="J275" s="3"/>
      <c r="K275" s="3"/>
      <c r="L275" s="3"/>
      <c r="M275" s="3"/>
      <c r="N275" s="3"/>
      <c r="O275" s="3"/>
      <c r="P275" s="3"/>
      <c r="Q275" s="3"/>
      <c r="R275" s="3"/>
      <c r="S275" s="3"/>
      <c r="T275" s="3"/>
      <c r="U275" s="3"/>
      <c r="V275" s="3"/>
      <c r="W275" s="3"/>
      <c r="X275" s="3"/>
      <c r="Y275" s="3"/>
      <c r="Z275" s="3"/>
      <c r="AA275" s="3"/>
      <c r="AB275" s="3"/>
      <c r="AC275" s="3"/>
    </row>
    <row r="276" spans="10:29">
      <c r="J276" s="3"/>
      <c r="K276" s="3"/>
      <c r="L276" s="3"/>
      <c r="M276" s="3"/>
      <c r="N276" s="3"/>
      <c r="O276" s="3"/>
      <c r="P276" s="3"/>
      <c r="Q276" s="3"/>
      <c r="R276" s="3"/>
      <c r="S276" s="3"/>
      <c r="T276" s="3"/>
      <c r="U276" s="3"/>
      <c r="V276" s="3"/>
      <c r="W276" s="3"/>
      <c r="X276" s="3"/>
      <c r="Y276" s="3"/>
      <c r="Z276" s="3"/>
      <c r="AA276" s="3"/>
      <c r="AB276" s="3"/>
      <c r="AC276" s="3"/>
    </row>
    <row r="277" spans="10:29">
      <c r="J277" s="3"/>
      <c r="K277" s="3"/>
      <c r="L277" s="3"/>
      <c r="M277" s="3"/>
      <c r="N277" s="3"/>
      <c r="O277" s="3"/>
      <c r="P277" s="3"/>
      <c r="Q277" s="3"/>
      <c r="R277" s="3"/>
      <c r="S277" s="3"/>
      <c r="T277" s="3"/>
      <c r="U277" s="3"/>
      <c r="V277" s="3"/>
      <c r="W277" s="3"/>
      <c r="X277" s="3"/>
      <c r="Y277" s="3"/>
      <c r="Z277" s="3"/>
      <c r="AA277" s="3"/>
      <c r="AB277" s="3"/>
      <c r="AC277" s="3"/>
    </row>
    <row r="278" spans="10:29">
      <c r="J278" s="3"/>
      <c r="K278" s="3"/>
      <c r="L278" s="3"/>
      <c r="M278" s="3"/>
      <c r="N278" s="3"/>
      <c r="O278" s="3"/>
      <c r="P278" s="3"/>
      <c r="Q278" s="3"/>
      <c r="R278" s="3"/>
      <c r="S278" s="3"/>
      <c r="T278" s="3"/>
      <c r="U278" s="3"/>
      <c r="V278" s="3"/>
      <c r="W278" s="3"/>
      <c r="X278" s="3"/>
      <c r="Y278" s="3"/>
      <c r="Z278" s="3"/>
      <c r="AA278" s="3"/>
      <c r="AB278" s="3"/>
      <c r="AC278" s="3"/>
    </row>
    <row r="279" spans="10:29">
      <c r="J279" s="3"/>
      <c r="K279" s="3"/>
      <c r="L279" s="3"/>
      <c r="M279" s="3"/>
      <c r="N279" s="3"/>
      <c r="O279" s="3"/>
      <c r="P279" s="3"/>
      <c r="Q279" s="3"/>
      <c r="R279" s="3"/>
      <c r="S279" s="3"/>
      <c r="T279" s="3"/>
      <c r="U279" s="3"/>
      <c r="V279" s="3"/>
      <c r="W279" s="3"/>
      <c r="X279" s="3"/>
      <c r="Y279" s="3"/>
      <c r="Z279" s="3"/>
      <c r="AA279" s="3"/>
      <c r="AB279" s="3"/>
      <c r="AC279" s="3"/>
    </row>
    <row r="280" spans="10:29">
      <c r="J280" s="3"/>
      <c r="K280" s="3"/>
      <c r="L280" s="3"/>
      <c r="M280" s="3"/>
      <c r="N280" s="3"/>
      <c r="O280" s="3"/>
      <c r="P280" s="3"/>
      <c r="Q280" s="3"/>
      <c r="R280" s="3"/>
      <c r="S280" s="3"/>
      <c r="T280" s="3"/>
      <c r="U280" s="3"/>
      <c r="V280" s="3"/>
      <c r="W280" s="3"/>
      <c r="X280" s="3"/>
      <c r="Y280" s="3"/>
      <c r="Z280" s="3"/>
      <c r="AA280" s="3"/>
      <c r="AB280" s="3"/>
      <c r="AC280" s="3"/>
    </row>
    <row r="281" spans="10:29">
      <c r="J281" s="3"/>
      <c r="K281" s="3"/>
      <c r="L281" s="3"/>
      <c r="M281" s="3"/>
      <c r="N281" s="3"/>
      <c r="O281" s="3"/>
      <c r="P281" s="3"/>
      <c r="Q281" s="3"/>
      <c r="R281" s="3"/>
      <c r="S281" s="3"/>
      <c r="T281" s="3"/>
      <c r="U281" s="3"/>
      <c r="V281" s="3"/>
      <c r="W281" s="3"/>
      <c r="X281" s="3"/>
      <c r="Y281" s="3"/>
      <c r="Z281" s="3"/>
      <c r="AA281" s="3"/>
      <c r="AB281" s="3"/>
      <c r="AC281" s="3"/>
    </row>
    <row r="282" spans="10:29">
      <c r="J282" s="3"/>
      <c r="K282" s="3"/>
      <c r="L282" s="3"/>
      <c r="M282" s="3"/>
      <c r="N282" s="3"/>
      <c r="O282" s="3"/>
      <c r="P282" s="3"/>
      <c r="Q282" s="3"/>
      <c r="R282" s="3"/>
      <c r="S282" s="3"/>
      <c r="T282" s="3"/>
      <c r="U282" s="3"/>
      <c r="V282" s="3"/>
      <c r="W282" s="3"/>
      <c r="X282" s="3"/>
      <c r="Y282" s="3"/>
      <c r="Z282" s="3"/>
      <c r="AA282" s="3"/>
      <c r="AB282" s="3"/>
      <c r="AC282" s="3"/>
    </row>
    <row r="283" spans="10:29">
      <c r="J283" s="3"/>
      <c r="K283" s="3"/>
      <c r="L283" s="3"/>
      <c r="M283" s="3"/>
      <c r="N283" s="3"/>
      <c r="O283" s="3"/>
      <c r="P283" s="3"/>
      <c r="Q283" s="3"/>
      <c r="R283" s="3"/>
      <c r="S283" s="3"/>
      <c r="T283" s="3"/>
      <c r="U283" s="3"/>
      <c r="V283" s="3"/>
      <c r="W283" s="3"/>
      <c r="X283" s="3"/>
      <c r="Y283" s="3"/>
      <c r="Z283" s="3"/>
      <c r="AA283" s="3"/>
      <c r="AB283" s="3"/>
      <c r="AC283" s="3"/>
    </row>
    <row r="284" spans="10:29">
      <c r="J284" s="3"/>
      <c r="K284" s="3"/>
      <c r="L284" s="3"/>
      <c r="M284" s="3"/>
      <c r="N284" s="3"/>
      <c r="O284" s="3"/>
      <c r="P284" s="3"/>
      <c r="Q284" s="3"/>
      <c r="R284" s="3"/>
      <c r="S284" s="3"/>
      <c r="T284" s="3"/>
      <c r="U284" s="3"/>
      <c r="V284" s="3"/>
      <c r="W284" s="3"/>
      <c r="X284" s="3"/>
      <c r="Y284" s="3"/>
      <c r="Z284" s="3"/>
      <c r="AA284" s="3"/>
      <c r="AB284" s="3"/>
      <c r="AC284" s="3"/>
    </row>
    <row r="285" spans="10:29">
      <c r="J285" s="3"/>
      <c r="K285" s="3"/>
      <c r="L285" s="3"/>
      <c r="M285" s="3"/>
      <c r="N285" s="3"/>
      <c r="O285" s="3"/>
      <c r="P285" s="3"/>
      <c r="Q285" s="3"/>
      <c r="R285" s="3"/>
      <c r="S285" s="3"/>
      <c r="T285" s="3"/>
      <c r="U285" s="3"/>
      <c r="V285" s="3"/>
      <c r="W285" s="3"/>
      <c r="X285" s="3"/>
      <c r="Y285" s="3"/>
      <c r="Z285" s="3"/>
      <c r="AA285" s="3"/>
      <c r="AB285" s="3"/>
      <c r="AC285" s="3"/>
    </row>
    <row r="286" spans="10:29">
      <c r="J286" s="3"/>
      <c r="K286" s="3"/>
      <c r="L286" s="3"/>
      <c r="M286" s="3"/>
      <c r="N286" s="3"/>
      <c r="O286" s="3"/>
      <c r="P286" s="3"/>
      <c r="Q286" s="3"/>
      <c r="R286" s="3"/>
      <c r="S286" s="3"/>
      <c r="T286" s="3"/>
      <c r="U286" s="3"/>
      <c r="V286" s="3"/>
      <c r="W286" s="3"/>
      <c r="X286" s="3"/>
      <c r="Y286" s="3"/>
      <c r="Z286" s="3"/>
      <c r="AA286" s="3"/>
      <c r="AB286" s="3"/>
      <c r="AC286" s="3"/>
    </row>
    <row r="287" spans="10:29">
      <c r="J287" s="3"/>
      <c r="K287" s="3"/>
      <c r="L287" s="3"/>
      <c r="M287" s="3"/>
      <c r="N287" s="3"/>
      <c r="O287" s="3"/>
      <c r="P287" s="3"/>
      <c r="Q287" s="3"/>
      <c r="R287" s="3"/>
      <c r="S287" s="3"/>
      <c r="T287" s="3"/>
      <c r="U287" s="3"/>
      <c r="V287" s="3"/>
      <c r="W287" s="3"/>
      <c r="X287" s="3"/>
      <c r="Y287" s="3"/>
      <c r="Z287" s="3"/>
      <c r="AA287" s="3"/>
      <c r="AB287" s="3"/>
      <c r="AC287" s="3"/>
    </row>
    <row r="288" spans="10:29">
      <c r="J288" s="3"/>
      <c r="K288" s="3"/>
      <c r="L288" s="3"/>
      <c r="M288" s="3"/>
      <c r="N288" s="3"/>
      <c r="O288" s="3"/>
      <c r="P288" s="3"/>
      <c r="Q288" s="3"/>
      <c r="R288" s="3"/>
      <c r="S288" s="3"/>
      <c r="T288" s="3"/>
      <c r="U288" s="3"/>
      <c r="V288" s="3"/>
      <c r="W288" s="3"/>
      <c r="X288" s="3"/>
      <c r="Y288" s="3"/>
      <c r="Z288" s="3"/>
      <c r="AA288" s="3"/>
      <c r="AB288" s="3"/>
      <c r="AC288" s="3"/>
    </row>
    <row r="289" spans="10:29">
      <c r="J289" s="3"/>
      <c r="K289" s="3"/>
      <c r="L289" s="3"/>
      <c r="M289" s="3"/>
      <c r="N289" s="3"/>
      <c r="O289" s="3"/>
      <c r="P289" s="3"/>
      <c r="Q289" s="3"/>
      <c r="R289" s="3"/>
      <c r="S289" s="3"/>
      <c r="T289" s="3"/>
      <c r="U289" s="3"/>
      <c r="V289" s="3"/>
      <c r="W289" s="3"/>
      <c r="X289" s="3"/>
      <c r="Y289" s="3"/>
      <c r="Z289" s="3"/>
      <c r="AA289" s="3"/>
      <c r="AB289" s="3"/>
      <c r="AC289" s="3"/>
    </row>
    <row r="290" spans="10:29">
      <c r="J290" s="3"/>
      <c r="K290" s="3"/>
      <c r="L290" s="3"/>
      <c r="M290" s="3"/>
      <c r="N290" s="3"/>
      <c r="O290" s="3"/>
      <c r="P290" s="3"/>
      <c r="Q290" s="3"/>
      <c r="R290" s="3"/>
      <c r="S290" s="3"/>
      <c r="T290" s="3"/>
      <c r="U290" s="3"/>
      <c r="V290" s="3"/>
      <c r="W290" s="3"/>
      <c r="X290" s="3"/>
      <c r="Y290" s="3"/>
      <c r="Z290" s="3"/>
      <c r="AA290" s="3"/>
      <c r="AB290" s="3"/>
      <c r="AC290" s="3"/>
    </row>
    <row r="291" spans="10:29">
      <c r="J291" s="3"/>
      <c r="K291" s="3"/>
      <c r="L291" s="3"/>
      <c r="M291" s="3"/>
      <c r="N291" s="3"/>
      <c r="O291" s="3"/>
      <c r="P291" s="3"/>
      <c r="Q291" s="3"/>
      <c r="R291" s="3"/>
      <c r="S291" s="3"/>
      <c r="T291" s="3"/>
      <c r="U291" s="3"/>
      <c r="V291" s="3"/>
      <c r="W291" s="3"/>
      <c r="X291" s="3"/>
      <c r="Y291" s="3"/>
      <c r="Z291" s="3"/>
      <c r="AA291" s="3"/>
      <c r="AB291" s="3"/>
      <c r="AC291" s="3"/>
    </row>
    <row r="292" spans="10:29">
      <c r="J292" s="3"/>
      <c r="K292" s="3"/>
      <c r="L292" s="3"/>
      <c r="M292" s="3"/>
      <c r="N292" s="3"/>
      <c r="O292" s="3"/>
      <c r="P292" s="3"/>
      <c r="Q292" s="3"/>
      <c r="R292" s="3"/>
      <c r="S292" s="3"/>
      <c r="T292" s="3"/>
      <c r="U292" s="3"/>
      <c r="V292" s="3"/>
      <c r="W292" s="3"/>
      <c r="X292" s="3"/>
      <c r="Y292" s="3"/>
      <c r="Z292" s="3"/>
      <c r="AA292" s="3"/>
      <c r="AB292" s="3"/>
      <c r="AC292" s="3"/>
    </row>
    <row r="293" spans="10:29">
      <c r="J293" s="3"/>
      <c r="K293" s="3"/>
      <c r="L293" s="3"/>
      <c r="M293" s="3"/>
      <c r="N293" s="3"/>
      <c r="O293" s="3"/>
      <c r="P293" s="3"/>
      <c r="Q293" s="3"/>
      <c r="R293" s="3"/>
      <c r="S293" s="3"/>
      <c r="T293" s="3"/>
      <c r="U293" s="3"/>
      <c r="V293" s="3"/>
      <c r="W293" s="3"/>
      <c r="X293" s="3"/>
      <c r="Y293" s="3"/>
      <c r="Z293" s="3"/>
      <c r="AA293" s="3"/>
      <c r="AB293" s="3"/>
      <c r="AC293" s="3"/>
    </row>
    <row r="294" spans="10:29">
      <c r="J294" s="3"/>
      <c r="K294" s="3"/>
      <c r="L294" s="3"/>
      <c r="M294" s="3"/>
      <c r="N294" s="3"/>
      <c r="O294" s="3"/>
      <c r="P294" s="3"/>
      <c r="Q294" s="3"/>
      <c r="R294" s="3"/>
      <c r="S294" s="3"/>
      <c r="T294" s="3"/>
      <c r="U294" s="3"/>
      <c r="V294" s="3"/>
      <c r="W294" s="3"/>
      <c r="X294" s="3"/>
      <c r="Y294" s="3"/>
      <c r="Z294" s="3"/>
      <c r="AA294" s="3"/>
      <c r="AB294" s="3"/>
      <c r="AC294" s="3"/>
    </row>
    <row r="295" spans="10:29">
      <c r="J295" s="3"/>
      <c r="K295" s="3"/>
      <c r="L295" s="3"/>
      <c r="M295" s="3"/>
      <c r="N295" s="3"/>
      <c r="O295" s="3"/>
      <c r="P295" s="3"/>
      <c r="Q295" s="3"/>
      <c r="R295" s="3"/>
      <c r="S295" s="3"/>
      <c r="T295" s="3"/>
      <c r="U295" s="3"/>
      <c r="V295" s="3"/>
      <c r="W295" s="3"/>
      <c r="X295" s="3"/>
      <c r="Y295" s="3"/>
      <c r="Z295" s="3"/>
      <c r="AA295" s="3"/>
      <c r="AB295" s="3"/>
      <c r="AC295" s="3"/>
    </row>
    <row r="296" spans="10:29">
      <c r="J296" s="3"/>
      <c r="K296" s="3"/>
      <c r="L296" s="3"/>
      <c r="M296" s="3"/>
      <c r="N296" s="3"/>
      <c r="O296" s="3"/>
      <c r="P296" s="3"/>
      <c r="Q296" s="3"/>
      <c r="R296" s="3"/>
      <c r="S296" s="3"/>
      <c r="T296" s="3"/>
      <c r="U296" s="3"/>
      <c r="V296" s="3"/>
      <c r="W296" s="3"/>
      <c r="X296" s="3"/>
      <c r="Y296" s="3"/>
      <c r="Z296" s="3"/>
      <c r="AA296" s="3"/>
      <c r="AB296" s="3"/>
      <c r="AC296" s="3"/>
    </row>
    <row r="297" spans="10:29">
      <c r="J297" s="3"/>
      <c r="K297" s="3"/>
      <c r="L297" s="3"/>
      <c r="M297" s="3"/>
      <c r="N297" s="3"/>
      <c r="O297" s="3"/>
      <c r="P297" s="3"/>
      <c r="Q297" s="3"/>
      <c r="R297" s="3"/>
      <c r="S297" s="3"/>
      <c r="T297" s="3"/>
      <c r="U297" s="3"/>
      <c r="V297" s="3"/>
      <c r="W297" s="3"/>
      <c r="X297" s="3"/>
      <c r="Y297" s="3"/>
      <c r="Z297" s="3"/>
      <c r="AA297" s="3"/>
      <c r="AB297" s="3"/>
      <c r="AC297" s="3"/>
    </row>
    <row r="298" spans="10:29">
      <c r="J298" s="3"/>
      <c r="K298" s="3"/>
      <c r="L298" s="3"/>
      <c r="M298" s="3"/>
      <c r="N298" s="3"/>
      <c r="O298" s="3"/>
      <c r="P298" s="3"/>
      <c r="Q298" s="3"/>
      <c r="R298" s="3"/>
      <c r="S298" s="3"/>
      <c r="T298" s="3"/>
      <c r="U298" s="3"/>
      <c r="V298" s="3"/>
      <c r="W298" s="3"/>
      <c r="X298" s="3"/>
      <c r="Y298" s="3"/>
      <c r="Z298" s="3"/>
      <c r="AA298" s="3"/>
      <c r="AB298" s="3"/>
      <c r="AC298" s="3"/>
    </row>
    <row r="299" spans="10:29">
      <c r="J299" s="3"/>
      <c r="K299" s="3"/>
      <c r="L299" s="3"/>
      <c r="M299" s="3"/>
      <c r="N299" s="3"/>
      <c r="O299" s="3"/>
      <c r="P299" s="3"/>
      <c r="Q299" s="3"/>
      <c r="R299" s="3"/>
      <c r="S299" s="3"/>
      <c r="T299" s="3"/>
      <c r="U299" s="3"/>
      <c r="V299" s="3"/>
      <c r="W299" s="3"/>
      <c r="X299" s="3"/>
      <c r="Y299" s="3"/>
      <c r="Z299" s="3"/>
      <c r="AA299" s="3"/>
      <c r="AB299" s="3"/>
      <c r="AC299" s="3"/>
    </row>
    <row r="300" spans="10:29">
      <c r="J300" s="3"/>
      <c r="K300" s="3"/>
      <c r="L300" s="3"/>
      <c r="M300" s="3"/>
      <c r="N300" s="3"/>
      <c r="O300" s="3"/>
      <c r="P300" s="3"/>
      <c r="Q300" s="3"/>
      <c r="R300" s="3"/>
      <c r="S300" s="3"/>
      <c r="T300" s="3"/>
      <c r="U300" s="3"/>
      <c r="V300" s="3"/>
      <c r="W300" s="3"/>
      <c r="X300" s="3"/>
      <c r="Y300" s="3"/>
      <c r="Z300" s="3"/>
      <c r="AA300" s="3"/>
      <c r="AB300" s="3"/>
      <c r="AC300" s="3"/>
    </row>
    <row r="301" spans="10:29">
      <c r="J301" s="3"/>
      <c r="K301" s="3"/>
      <c r="L301" s="3"/>
      <c r="M301" s="3"/>
      <c r="N301" s="3"/>
      <c r="O301" s="3"/>
      <c r="P301" s="3"/>
      <c r="Q301" s="3"/>
      <c r="R301" s="3"/>
      <c r="S301" s="3"/>
      <c r="T301" s="3"/>
      <c r="U301" s="3"/>
      <c r="V301" s="3"/>
      <c r="W301" s="3"/>
      <c r="X301" s="3"/>
      <c r="Y301" s="3"/>
      <c r="Z301" s="3"/>
      <c r="AA301" s="3"/>
      <c r="AB301" s="3"/>
      <c r="AC301" s="3"/>
    </row>
    <row r="302" spans="10:29">
      <c r="J302" s="3"/>
      <c r="K302" s="3"/>
      <c r="L302" s="3"/>
      <c r="M302" s="3"/>
      <c r="N302" s="3"/>
      <c r="O302" s="3"/>
      <c r="P302" s="3"/>
      <c r="Q302" s="3"/>
      <c r="R302" s="3"/>
      <c r="S302" s="3"/>
      <c r="T302" s="3"/>
      <c r="U302" s="3"/>
      <c r="V302" s="3"/>
      <c r="W302" s="3"/>
      <c r="X302" s="3"/>
      <c r="Y302" s="3"/>
      <c r="Z302" s="3"/>
      <c r="AA302" s="3"/>
      <c r="AB302" s="3"/>
      <c r="AC302" s="3"/>
    </row>
    <row r="303" spans="10:29">
      <c r="J303" s="3"/>
      <c r="K303" s="3"/>
      <c r="L303" s="3"/>
      <c r="M303" s="3"/>
      <c r="N303" s="3"/>
      <c r="O303" s="3"/>
      <c r="P303" s="3"/>
      <c r="Q303" s="3"/>
      <c r="R303" s="3"/>
      <c r="S303" s="3"/>
      <c r="T303" s="3"/>
      <c r="U303" s="3"/>
      <c r="V303" s="3"/>
      <c r="W303" s="3"/>
      <c r="X303" s="3"/>
      <c r="Y303" s="3"/>
      <c r="Z303" s="3"/>
      <c r="AA303" s="3"/>
      <c r="AB303" s="3"/>
      <c r="AC303" s="3"/>
    </row>
    <row r="304" spans="10:29">
      <c r="J304" s="3"/>
      <c r="K304" s="3"/>
      <c r="L304" s="3"/>
      <c r="M304" s="3"/>
      <c r="N304" s="3"/>
      <c r="O304" s="3"/>
      <c r="P304" s="3"/>
      <c r="Q304" s="3"/>
      <c r="R304" s="3"/>
      <c r="S304" s="3"/>
      <c r="T304" s="3"/>
      <c r="U304" s="3"/>
      <c r="V304" s="3"/>
      <c r="W304" s="3"/>
      <c r="X304" s="3"/>
      <c r="Y304" s="3"/>
      <c r="Z304" s="3"/>
      <c r="AA304" s="3"/>
      <c r="AB304" s="3"/>
      <c r="AC304" s="3"/>
    </row>
    <row r="305" spans="10:29">
      <c r="J305" s="3"/>
      <c r="K305" s="3"/>
      <c r="L305" s="3"/>
      <c r="M305" s="3"/>
      <c r="N305" s="3"/>
      <c r="O305" s="3"/>
      <c r="P305" s="3"/>
      <c r="Q305" s="3"/>
      <c r="R305" s="3"/>
      <c r="S305" s="3"/>
      <c r="T305" s="3"/>
      <c r="U305" s="3"/>
      <c r="V305" s="3"/>
      <c r="W305" s="3"/>
      <c r="X305" s="3"/>
      <c r="Y305" s="3"/>
      <c r="Z305" s="3"/>
      <c r="AA305" s="3"/>
      <c r="AB305" s="3"/>
      <c r="AC305" s="3"/>
    </row>
    <row r="306" spans="10:29">
      <c r="J306" s="3"/>
      <c r="K306" s="3"/>
      <c r="L306" s="3"/>
      <c r="M306" s="3"/>
      <c r="N306" s="3"/>
      <c r="O306" s="3"/>
      <c r="P306" s="3"/>
      <c r="Q306" s="3"/>
      <c r="R306" s="3"/>
      <c r="S306" s="3"/>
      <c r="T306" s="3"/>
      <c r="U306" s="3"/>
      <c r="V306" s="3"/>
      <c r="W306" s="3"/>
      <c r="X306" s="3"/>
      <c r="Y306" s="3"/>
      <c r="Z306" s="3"/>
      <c r="AA306" s="3"/>
      <c r="AB306" s="3"/>
      <c r="AC306" s="3"/>
    </row>
    <row r="307" spans="10:29">
      <c r="J307" s="3"/>
      <c r="K307" s="3"/>
      <c r="L307" s="3"/>
      <c r="M307" s="3"/>
      <c r="N307" s="3"/>
      <c r="O307" s="3"/>
      <c r="P307" s="3"/>
      <c r="Q307" s="3"/>
      <c r="R307" s="3"/>
      <c r="S307" s="3"/>
      <c r="T307" s="3"/>
      <c r="U307" s="3"/>
      <c r="V307" s="3"/>
      <c r="W307" s="3"/>
      <c r="X307" s="3"/>
      <c r="Y307" s="3"/>
      <c r="Z307" s="3"/>
      <c r="AA307" s="3"/>
      <c r="AB307" s="3"/>
      <c r="AC307" s="3"/>
    </row>
    <row r="308" spans="10:29">
      <c r="J308" s="3"/>
      <c r="K308" s="3"/>
      <c r="L308" s="3"/>
      <c r="M308" s="3"/>
      <c r="N308" s="3"/>
      <c r="O308" s="3"/>
      <c r="P308" s="3"/>
      <c r="Q308" s="3"/>
      <c r="R308" s="3"/>
      <c r="S308" s="3"/>
      <c r="T308" s="3"/>
      <c r="U308" s="3"/>
      <c r="V308" s="3"/>
      <c r="W308" s="3"/>
      <c r="X308" s="3"/>
      <c r="Y308" s="3"/>
      <c r="Z308" s="3"/>
      <c r="AA308" s="3"/>
      <c r="AB308" s="3"/>
      <c r="AC308" s="3"/>
    </row>
    <row r="309" spans="10:29">
      <c r="J309" s="3"/>
      <c r="K309" s="3"/>
      <c r="L309" s="3"/>
      <c r="M309" s="3"/>
      <c r="N309" s="3"/>
      <c r="O309" s="3"/>
      <c r="P309" s="3"/>
      <c r="Q309" s="3"/>
      <c r="R309" s="3"/>
      <c r="S309" s="3"/>
      <c r="T309" s="3"/>
      <c r="U309" s="3"/>
      <c r="V309" s="3"/>
      <c r="W309" s="3"/>
      <c r="X309" s="3"/>
      <c r="Y309" s="3"/>
      <c r="Z309" s="3"/>
      <c r="AA309" s="3"/>
      <c r="AB309" s="3"/>
      <c r="AC309" s="3"/>
    </row>
    <row r="310" spans="10:29">
      <c r="J310" s="3"/>
      <c r="K310" s="3"/>
      <c r="L310" s="3"/>
      <c r="M310" s="3"/>
      <c r="N310" s="3"/>
      <c r="O310" s="3"/>
      <c r="P310" s="3"/>
      <c r="Q310" s="3"/>
      <c r="R310" s="3"/>
      <c r="S310" s="3"/>
      <c r="T310" s="3"/>
      <c r="U310" s="3"/>
      <c r="V310" s="3"/>
      <c r="W310" s="3"/>
      <c r="X310" s="3"/>
      <c r="Y310" s="3"/>
      <c r="Z310" s="3"/>
      <c r="AA310" s="3"/>
      <c r="AB310" s="3"/>
      <c r="AC310" s="3"/>
    </row>
    <row r="311" spans="10:29">
      <c r="J311" s="3"/>
      <c r="K311" s="3"/>
      <c r="L311" s="3"/>
      <c r="M311" s="3"/>
      <c r="N311" s="3"/>
      <c r="O311" s="3"/>
      <c r="P311" s="3"/>
      <c r="Q311" s="3"/>
      <c r="R311" s="3"/>
      <c r="S311" s="3"/>
      <c r="T311" s="3"/>
      <c r="U311" s="3"/>
      <c r="V311" s="3"/>
      <c r="W311" s="3"/>
      <c r="X311" s="3"/>
      <c r="Y311" s="3"/>
      <c r="Z311" s="3"/>
      <c r="AA311" s="3"/>
      <c r="AB311" s="3"/>
      <c r="AC311" s="3"/>
    </row>
    <row r="312" spans="10:29">
      <c r="J312" s="3"/>
      <c r="K312" s="3"/>
      <c r="L312" s="3"/>
      <c r="M312" s="3"/>
      <c r="N312" s="3"/>
      <c r="O312" s="3"/>
      <c r="P312" s="3"/>
      <c r="Q312" s="3"/>
      <c r="R312" s="3"/>
      <c r="S312" s="3"/>
      <c r="T312" s="3"/>
      <c r="U312" s="3"/>
      <c r="V312" s="3"/>
      <c r="W312" s="3"/>
      <c r="X312" s="3"/>
      <c r="Y312" s="3"/>
      <c r="Z312" s="3"/>
      <c r="AA312" s="3"/>
      <c r="AB312" s="3"/>
      <c r="AC312" s="3"/>
    </row>
    <row r="313" spans="10:29">
      <c r="J313" s="3"/>
      <c r="K313" s="3"/>
      <c r="L313" s="3"/>
      <c r="M313" s="3"/>
      <c r="N313" s="3"/>
      <c r="O313" s="3"/>
      <c r="P313" s="3"/>
      <c r="Q313" s="3"/>
      <c r="R313" s="3"/>
      <c r="S313" s="3"/>
      <c r="T313" s="3"/>
      <c r="U313" s="3"/>
      <c r="V313" s="3"/>
      <c r="W313" s="3"/>
      <c r="X313" s="3"/>
      <c r="Y313" s="3"/>
      <c r="Z313" s="3"/>
      <c r="AA313" s="3"/>
      <c r="AB313" s="3"/>
      <c r="AC313" s="3"/>
    </row>
    <row r="314" spans="10:29">
      <c r="J314" s="3"/>
      <c r="K314" s="3"/>
      <c r="L314" s="3"/>
      <c r="M314" s="3"/>
      <c r="N314" s="3"/>
      <c r="O314" s="3"/>
      <c r="P314" s="3"/>
      <c r="Q314" s="3"/>
      <c r="R314" s="3"/>
      <c r="S314" s="3"/>
      <c r="T314" s="3"/>
      <c r="U314" s="3"/>
      <c r="V314" s="3"/>
      <c r="W314" s="3"/>
      <c r="X314" s="3"/>
      <c r="Y314" s="3"/>
      <c r="Z314" s="3"/>
      <c r="AA314" s="3"/>
      <c r="AB314" s="3"/>
      <c r="AC314" s="3"/>
    </row>
    <row r="315" spans="10:29">
      <c r="J315" s="3"/>
      <c r="K315" s="3"/>
      <c r="L315" s="3"/>
      <c r="M315" s="3"/>
      <c r="N315" s="3"/>
      <c r="O315" s="3"/>
      <c r="P315" s="3"/>
      <c r="Q315" s="3"/>
      <c r="R315" s="3"/>
      <c r="S315" s="3"/>
      <c r="T315" s="3"/>
      <c r="U315" s="3"/>
      <c r="V315" s="3"/>
      <c r="W315" s="3"/>
      <c r="X315" s="3"/>
      <c r="Y315" s="3"/>
      <c r="Z315" s="3"/>
      <c r="AA315" s="3"/>
      <c r="AB315" s="3"/>
      <c r="AC315" s="3"/>
    </row>
    <row r="316" spans="10:29">
      <c r="J316" s="3"/>
      <c r="K316" s="3"/>
      <c r="L316" s="3"/>
      <c r="M316" s="3"/>
      <c r="N316" s="3"/>
      <c r="O316" s="3"/>
      <c r="P316" s="3"/>
      <c r="Q316" s="3"/>
      <c r="R316" s="3"/>
      <c r="S316" s="3"/>
      <c r="T316" s="3"/>
      <c r="U316" s="3"/>
      <c r="V316" s="3"/>
      <c r="W316" s="3"/>
      <c r="X316" s="3"/>
      <c r="Y316" s="3"/>
      <c r="Z316" s="3"/>
      <c r="AA316" s="3"/>
      <c r="AB316" s="3"/>
      <c r="AC316" s="3"/>
    </row>
    <row r="317" spans="10:29">
      <c r="J317" s="3"/>
      <c r="K317" s="3"/>
      <c r="L317" s="3"/>
      <c r="M317" s="3"/>
      <c r="N317" s="3"/>
      <c r="O317" s="3"/>
      <c r="P317" s="3"/>
      <c r="Q317" s="3"/>
      <c r="R317" s="3"/>
      <c r="S317" s="3"/>
      <c r="T317" s="3"/>
      <c r="U317" s="3"/>
      <c r="V317" s="3"/>
      <c r="W317" s="3"/>
      <c r="X317" s="3"/>
      <c r="Y317" s="3"/>
      <c r="Z317" s="3"/>
      <c r="AA317" s="3"/>
      <c r="AB317" s="3"/>
      <c r="AC317" s="3"/>
    </row>
    <row r="318" spans="10:29">
      <c r="J318" s="3"/>
      <c r="K318" s="3"/>
      <c r="L318" s="3"/>
      <c r="M318" s="3"/>
      <c r="N318" s="3"/>
      <c r="O318" s="3"/>
      <c r="P318" s="3"/>
      <c r="Q318" s="3"/>
      <c r="R318" s="3"/>
      <c r="S318" s="3"/>
      <c r="T318" s="3"/>
      <c r="U318" s="3"/>
      <c r="V318" s="3"/>
      <c r="W318" s="3"/>
      <c r="X318" s="3"/>
      <c r="Y318" s="3"/>
      <c r="Z318" s="3"/>
      <c r="AA318" s="3"/>
      <c r="AB318" s="3"/>
      <c r="AC318" s="3"/>
    </row>
    <row r="319" spans="10:29">
      <c r="J319" s="3"/>
      <c r="K319" s="3"/>
      <c r="L319" s="3"/>
      <c r="M319" s="3"/>
      <c r="N319" s="3"/>
      <c r="O319" s="3"/>
      <c r="P319" s="3"/>
      <c r="Q319" s="3"/>
      <c r="R319" s="3"/>
      <c r="S319" s="3"/>
      <c r="T319" s="3"/>
      <c r="U319" s="3"/>
      <c r="V319" s="3"/>
      <c r="W319" s="3"/>
      <c r="X319" s="3"/>
      <c r="Y319" s="3"/>
      <c r="Z319" s="3"/>
      <c r="AA319" s="3"/>
      <c r="AB319" s="3"/>
      <c r="AC319" s="3"/>
    </row>
    <row r="320" spans="10:29">
      <c r="J320" s="3"/>
      <c r="K320" s="3"/>
      <c r="L320" s="3"/>
      <c r="M320" s="3"/>
      <c r="N320" s="3"/>
      <c r="O320" s="3"/>
      <c r="P320" s="3"/>
      <c r="Q320" s="3"/>
      <c r="R320" s="3"/>
      <c r="S320" s="3"/>
      <c r="T320" s="3"/>
      <c r="U320" s="3"/>
      <c r="V320" s="3"/>
      <c r="W320" s="3"/>
      <c r="X320" s="3"/>
      <c r="Y320" s="3"/>
      <c r="Z320" s="3"/>
      <c r="AA320" s="3"/>
      <c r="AB320" s="3"/>
      <c r="AC320" s="3"/>
    </row>
    <row r="321" spans="10:29">
      <c r="J321" s="3"/>
      <c r="K321" s="3"/>
      <c r="L321" s="3"/>
      <c r="M321" s="3"/>
      <c r="N321" s="3"/>
      <c r="O321" s="3"/>
      <c r="P321" s="3"/>
      <c r="Q321" s="3"/>
      <c r="R321" s="3"/>
      <c r="S321" s="3"/>
      <c r="T321" s="3"/>
      <c r="U321" s="3"/>
      <c r="V321" s="3"/>
      <c r="W321" s="3"/>
      <c r="X321" s="3"/>
      <c r="Y321" s="3"/>
      <c r="Z321" s="3"/>
      <c r="AA321" s="3"/>
      <c r="AB321" s="3"/>
      <c r="AC321" s="3"/>
    </row>
    <row r="322" spans="10:29">
      <c r="J322" s="3"/>
      <c r="K322" s="3"/>
      <c r="L322" s="3"/>
      <c r="M322" s="3"/>
      <c r="N322" s="3"/>
      <c r="O322" s="3"/>
      <c r="P322" s="3"/>
      <c r="Q322" s="3"/>
      <c r="R322" s="3"/>
      <c r="S322" s="3"/>
      <c r="T322" s="3"/>
      <c r="U322" s="3"/>
      <c r="V322" s="3"/>
      <c r="W322" s="3"/>
      <c r="X322" s="3"/>
      <c r="Y322" s="3"/>
      <c r="Z322" s="3"/>
      <c r="AA322" s="3"/>
      <c r="AB322" s="3"/>
      <c r="AC322" s="3"/>
    </row>
    <row r="323" spans="10:29">
      <c r="J323" s="3"/>
      <c r="K323" s="3"/>
      <c r="L323" s="3"/>
      <c r="M323" s="3"/>
      <c r="N323" s="3"/>
      <c r="O323" s="3"/>
      <c r="P323" s="3"/>
      <c r="Q323" s="3"/>
      <c r="R323" s="3"/>
      <c r="S323" s="3"/>
      <c r="T323" s="3"/>
      <c r="U323" s="3"/>
      <c r="V323" s="3"/>
      <c r="W323" s="3"/>
      <c r="X323" s="3"/>
      <c r="Y323" s="3"/>
      <c r="Z323" s="3"/>
      <c r="AA323" s="3"/>
      <c r="AB323" s="3"/>
      <c r="AC323" s="3"/>
    </row>
    <row r="324" spans="10:29">
      <c r="J324" s="3"/>
      <c r="K324" s="3"/>
      <c r="L324" s="3"/>
      <c r="M324" s="3"/>
      <c r="N324" s="3"/>
      <c r="O324" s="3"/>
      <c r="P324" s="3"/>
      <c r="Q324" s="3"/>
      <c r="R324" s="3"/>
      <c r="S324" s="3"/>
      <c r="T324" s="3"/>
      <c r="U324" s="3"/>
      <c r="V324" s="3"/>
      <c r="W324" s="3"/>
      <c r="X324" s="3"/>
      <c r="Y324" s="3"/>
      <c r="Z324" s="3"/>
      <c r="AA324" s="3"/>
      <c r="AB324" s="3"/>
      <c r="AC324" s="3"/>
    </row>
    <row r="325" spans="10:29">
      <c r="J325" s="3"/>
      <c r="K325" s="3"/>
      <c r="L325" s="3"/>
      <c r="M325" s="3"/>
      <c r="N325" s="3"/>
      <c r="O325" s="3"/>
      <c r="P325" s="3"/>
      <c r="Q325" s="3"/>
      <c r="R325" s="3"/>
      <c r="S325" s="3"/>
      <c r="T325" s="3"/>
      <c r="U325" s="3"/>
      <c r="V325" s="3"/>
      <c r="W325" s="3"/>
      <c r="X325" s="3"/>
      <c r="Y325" s="3"/>
      <c r="Z325" s="3"/>
      <c r="AA325" s="3"/>
      <c r="AB325" s="3"/>
      <c r="AC325" s="3"/>
    </row>
    <row r="326" spans="10:29">
      <c r="J326" s="3"/>
      <c r="K326" s="3"/>
      <c r="L326" s="3"/>
      <c r="M326" s="3"/>
      <c r="N326" s="3"/>
      <c r="O326" s="3"/>
      <c r="P326" s="3"/>
      <c r="Q326" s="3"/>
      <c r="R326" s="3"/>
      <c r="S326" s="3"/>
      <c r="T326" s="3"/>
      <c r="U326" s="3"/>
      <c r="V326" s="3"/>
      <c r="W326" s="3"/>
      <c r="X326" s="3"/>
      <c r="Y326" s="3"/>
      <c r="Z326" s="3"/>
      <c r="AA326" s="3"/>
      <c r="AB326" s="3"/>
      <c r="AC326" s="3"/>
    </row>
    <row r="327" spans="10:29">
      <c r="J327" s="3"/>
      <c r="K327" s="3"/>
      <c r="L327" s="3"/>
      <c r="M327" s="3"/>
      <c r="N327" s="3"/>
      <c r="O327" s="3"/>
      <c r="P327" s="3"/>
      <c r="Q327" s="3"/>
      <c r="R327" s="3"/>
      <c r="S327" s="3"/>
      <c r="T327" s="3"/>
      <c r="U327" s="3"/>
      <c r="V327" s="3"/>
      <c r="W327" s="3"/>
      <c r="X327" s="3"/>
      <c r="Y327" s="3"/>
      <c r="Z327" s="3"/>
      <c r="AA327" s="3"/>
      <c r="AB327" s="3"/>
      <c r="AC327" s="3"/>
    </row>
    <row r="328" spans="10:29">
      <c r="J328" s="3"/>
      <c r="K328" s="3"/>
      <c r="L328" s="3"/>
      <c r="M328" s="3"/>
      <c r="N328" s="3"/>
      <c r="O328" s="3"/>
      <c r="P328" s="3"/>
      <c r="Q328" s="3"/>
      <c r="R328" s="3"/>
      <c r="S328" s="3"/>
      <c r="T328" s="3"/>
      <c r="U328" s="3"/>
      <c r="V328" s="3"/>
      <c r="W328" s="3"/>
      <c r="X328" s="3"/>
      <c r="Y328" s="3"/>
      <c r="Z328" s="3"/>
      <c r="AA328" s="3"/>
      <c r="AB328" s="3"/>
      <c r="AC328" s="3"/>
    </row>
    <row r="329" spans="10:29">
      <c r="J329" s="3"/>
      <c r="K329" s="3"/>
      <c r="L329" s="3"/>
      <c r="M329" s="3"/>
      <c r="N329" s="3"/>
      <c r="O329" s="3"/>
      <c r="P329" s="3"/>
      <c r="Q329" s="3"/>
      <c r="R329" s="3"/>
      <c r="S329" s="3"/>
      <c r="T329" s="3"/>
      <c r="U329" s="3"/>
      <c r="V329" s="3"/>
      <c r="W329" s="3"/>
      <c r="X329" s="3"/>
      <c r="Y329" s="3"/>
      <c r="Z329" s="3"/>
      <c r="AA329" s="3"/>
      <c r="AB329" s="3"/>
      <c r="AC329" s="3"/>
    </row>
    <row r="330" spans="10:29">
      <c r="J330" s="3"/>
      <c r="K330" s="3"/>
      <c r="L330" s="3"/>
      <c r="M330" s="3"/>
      <c r="N330" s="3"/>
      <c r="O330" s="3"/>
      <c r="P330" s="3"/>
      <c r="Q330" s="3"/>
      <c r="R330" s="3"/>
      <c r="S330" s="3"/>
      <c r="T330" s="3"/>
      <c r="U330" s="3"/>
      <c r="V330" s="3"/>
      <c r="W330" s="3"/>
      <c r="X330" s="3"/>
      <c r="Y330" s="3"/>
      <c r="Z330" s="3"/>
      <c r="AA330" s="3"/>
      <c r="AB330" s="3"/>
      <c r="AC330" s="3"/>
    </row>
    <row r="331" spans="10:29">
      <c r="J331" s="3"/>
      <c r="K331" s="3"/>
      <c r="L331" s="3"/>
      <c r="M331" s="3"/>
      <c r="N331" s="3"/>
      <c r="O331" s="3"/>
      <c r="P331" s="3"/>
      <c r="Q331" s="3"/>
      <c r="R331" s="3"/>
      <c r="S331" s="3"/>
      <c r="T331" s="3"/>
      <c r="U331" s="3"/>
      <c r="V331" s="3"/>
      <c r="W331" s="3"/>
      <c r="X331" s="3"/>
      <c r="Y331" s="3"/>
      <c r="Z331" s="3"/>
      <c r="AA331" s="3"/>
      <c r="AB331" s="3"/>
      <c r="AC331" s="3"/>
    </row>
    <row r="332" spans="10:29">
      <c r="J332" s="3"/>
      <c r="K332" s="3"/>
      <c r="L332" s="3"/>
      <c r="M332" s="3"/>
      <c r="N332" s="3"/>
      <c r="O332" s="3"/>
      <c r="P332" s="3"/>
      <c r="Q332" s="3"/>
      <c r="R332" s="3"/>
      <c r="S332" s="3"/>
      <c r="T332" s="3"/>
      <c r="U332" s="3"/>
      <c r="V332" s="3"/>
      <c r="W332" s="3"/>
      <c r="X332" s="3"/>
      <c r="Y332" s="3"/>
      <c r="Z332" s="3"/>
      <c r="AA332" s="3"/>
      <c r="AB332" s="3"/>
      <c r="AC332" s="3"/>
    </row>
    <row r="333" spans="10:29">
      <c r="J333" s="3"/>
      <c r="K333" s="3"/>
      <c r="L333" s="3"/>
      <c r="M333" s="3"/>
      <c r="N333" s="3"/>
      <c r="O333" s="3"/>
      <c r="P333" s="3"/>
      <c r="Q333" s="3"/>
      <c r="R333" s="3"/>
      <c r="S333" s="3"/>
      <c r="T333" s="3"/>
      <c r="U333" s="3"/>
      <c r="V333" s="3"/>
      <c r="W333" s="3"/>
      <c r="X333" s="3"/>
      <c r="Y333" s="3"/>
      <c r="Z333" s="3"/>
      <c r="AA333" s="3"/>
      <c r="AB333" s="3"/>
      <c r="AC333" s="3"/>
    </row>
    <row r="334" spans="10:29">
      <c r="J334" s="3"/>
      <c r="K334" s="3"/>
      <c r="L334" s="3"/>
      <c r="M334" s="3"/>
      <c r="N334" s="3"/>
      <c r="O334" s="3"/>
      <c r="P334" s="3"/>
      <c r="Q334" s="3"/>
      <c r="R334" s="3"/>
      <c r="S334" s="3"/>
      <c r="T334" s="3"/>
      <c r="U334" s="3"/>
      <c r="V334" s="3"/>
      <c r="W334" s="3"/>
      <c r="X334" s="3"/>
      <c r="Y334" s="3"/>
      <c r="Z334" s="3"/>
      <c r="AA334" s="3"/>
      <c r="AB334" s="3"/>
      <c r="AC334" s="3"/>
    </row>
    <row r="335" spans="10:29">
      <c r="J335" s="3"/>
      <c r="K335" s="3"/>
      <c r="L335" s="3"/>
      <c r="M335" s="3"/>
      <c r="N335" s="3"/>
      <c r="O335" s="3"/>
      <c r="P335" s="3"/>
      <c r="Q335" s="3"/>
      <c r="R335" s="3"/>
      <c r="S335" s="3"/>
      <c r="T335" s="3"/>
      <c r="U335" s="3"/>
      <c r="V335" s="3"/>
      <c r="W335" s="3"/>
      <c r="X335" s="3"/>
      <c r="Y335" s="3"/>
      <c r="Z335" s="3"/>
      <c r="AA335" s="3"/>
      <c r="AB335" s="3"/>
      <c r="AC335" s="3"/>
    </row>
    <row r="336" spans="10:29">
      <c r="J336" s="3"/>
      <c r="K336" s="3"/>
      <c r="L336" s="3"/>
      <c r="M336" s="3"/>
      <c r="N336" s="3"/>
      <c r="O336" s="3"/>
      <c r="P336" s="3"/>
      <c r="Q336" s="3"/>
      <c r="R336" s="3"/>
      <c r="S336" s="3"/>
      <c r="T336" s="3"/>
      <c r="U336" s="3"/>
      <c r="V336" s="3"/>
      <c r="W336" s="3"/>
      <c r="X336" s="3"/>
      <c r="Y336" s="3"/>
      <c r="Z336" s="3"/>
      <c r="AA336" s="3"/>
      <c r="AB336" s="3"/>
      <c r="AC336" s="3"/>
    </row>
    <row r="337" spans="10:29">
      <c r="J337" s="3"/>
      <c r="K337" s="3"/>
      <c r="L337" s="3"/>
      <c r="M337" s="3"/>
      <c r="N337" s="3"/>
      <c r="O337" s="3"/>
      <c r="P337" s="3"/>
      <c r="Q337" s="3"/>
      <c r="R337" s="3"/>
      <c r="S337" s="3"/>
      <c r="T337" s="3"/>
      <c r="U337" s="3"/>
      <c r="V337" s="3"/>
      <c r="W337" s="3"/>
      <c r="X337" s="3"/>
      <c r="Y337" s="3"/>
      <c r="Z337" s="3"/>
      <c r="AA337" s="3"/>
      <c r="AB337" s="3"/>
      <c r="AC337" s="3"/>
    </row>
    <row r="338" spans="10:29">
      <c r="J338" s="3"/>
      <c r="K338" s="3"/>
      <c r="L338" s="3"/>
      <c r="M338" s="3"/>
      <c r="N338" s="3"/>
      <c r="O338" s="3"/>
      <c r="P338" s="3"/>
      <c r="Q338" s="3"/>
      <c r="R338" s="3"/>
      <c r="S338" s="3"/>
      <c r="T338" s="3"/>
      <c r="U338" s="3"/>
      <c r="V338" s="3"/>
      <c r="W338" s="3"/>
      <c r="X338" s="3"/>
      <c r="Y338" s="3"/>
      <c r="Z338" s="3"/>
      <c r="AA338" s="3"/>
      <c r="AB338" s="3"/>
      <c r="AC338" s="3"/>
    </row>
    <row r="339" spans="10:29">
      <c r="J339" s="3"/>
      <c r="K339" s="3"/>
      <c r="L339" s="3"/>
      <c r="M339" s="3"/>
      <c r="N339" s="3"/>
      <c r="O339" s="3"/>
      <c r="P339" s="3"/>
      <c r="Q339" s="3"/>
      <c r="R339" s="3"/>
      <c r="S339" s="3"/>
      <c r="T339" s="3"/>
      <c r="U339" s="3"/>
      <c r="V339" s="3"/>
      <c r="W339" s="3"/>
      <c r="X339" s="3"/>
      <c r="Y339" s="3"/>
      <c r="Z339" s="3"/>
      <c r="AA339" s="3"/>
      <c r="AB339" s="3"/>
      <c r="AC339" s="3"/>
    </row>
    <row r="340" spans="10:29">
      <c r="J340" s="3"/>
      <c r="K340" s="3"/>
      <c r="L340" s="3"/>
      <c r="M340" s="3"/>
      <c r="N340" s="3"/>
      <c r="O340" s="3"/>
      <c r="P340" s="3"/>
      <c r="Q340" s="3"/>
      <c r="R340" s="3"/>
      <c r="S340" s="3"/>
      <c r="T340" s="3"/>
      <c r="U340" s="3"/>
      <c r="V340" s="3"/>
      <c r="W340" s="3"/>
      <c r="X340" s="3"/>
      <c r="Y340" s="3"/>
      <c r="Z340" s="3"/>
      <c r="AA340" s="3"/>
      <c r="AB340" s="3"/>
      <c r="AC340" s="3"/>
    </row>
    <row r="341" spans="10:29">
      <c r="J341" s="3"/>
      <c r="K341" s="3"/>
      <c r="L341" s="3"/>
      <c r="M341" s="3"/>
      <c r="N341" s="3"/>
      <c r="O341" s="3"/>
      <c r="P341" s="3"/>
      <c r="Q341" s="3"/>
      <c r="R341" s="3"/>
      <c r="S341" s="3"/>
      <c r="T341" s="3"/>
      <c r="U341" s="3"/>
      <c r="V341" s="3"/>
      <c r="W341" s="3"/>
      <c r="X341" s="3"/>
      <c r="Y341" s="3"/>
      <c r="Z341" s="3"/>
      <c r="AA341" s="3"/>
      <c r="AB341" s="3"/>
      <c r="AC341" s="3"/>
    </row>
    <row r="342" spans="10:29">
      <c r="J342" s="3"/>
      <c r="K342" s="3"/>
      <c r="L342" s="3"/>
      <c r="M342" s="3"/>
      <c r="N342" s="3"/>
      <c r="O342" s="3"/>
      <c r="P342" s="3"/>
      <c r="Q342" s="3"/>
      <c r="R342" s="3"/>
      <c r="S342" s="3"/>
      <c r="T342" s="3"/>
      <c r="U342" s="3"/>
      <c r="V342" s="3"/>
      <c r="W342" s="3"/>
      <c r="X342" s="3"/>
      <c r="Y342" s="3"/>
      <c r="Z342" s="3"/>
      <c r="AA342" s="3"/>
      <c r="AB342" s="3"/>
      <c r="AC342" s="3"/>
    </row>
    <row r="343" spans="10:29">
      <c r="J343" s="3"/>
      <c r="K343" s="3"/>
      <c r="L343" s="3"/>
      <c r="M343" s="3"/>
      <c r="N343" s="3"/>
      <c r="O343" s="3"/>
      <c r="P343" s="3"/>
      <c r="Q343" s="3"/>
      <c r="R343" s="3"/>
      <c r="S343" s="3"/>
      <c r="T343" s="3"/>
      <c r="U343" s="3"/>
      <c r="V343" s="3"/>
      <c r="W343" s="3"/>
      <c r="X343" s="3"/>
      <c r="Y343" s="3"/>
      <c r="Z343" s="3"/>
      <c r="AA343" s="3"/>
      <c r="AB343" s="3"/>
      <c r="AC343" s="3"/>
    </row>
    <row r="344" spans="10:29">
      <c r="J344" s="3"/>
      <c r="K344" s="3"/>
      <c r="L344" s="3"/>
      <c r="M344" s="3"/>
      <c r="N344" s="3"/>
      <c r="O344" s="3"/>
      <c r="P344" s="3"/>
      <c r="Q344" s="3"/>
      <c r="R344" s="3"/>
      <c r="S344" s="3"/>
      <c r="T344" s="3"/>
      <c r="U344" s="3"/>
      <c r="V344" s="3"/>
      <c r="W344" s="3"/>
      <c r="X344" s="3"/>
      <c r="Y344" s="3"/>
      <c r="Z344" s="3"/>
      <c r="AA344" s="3"/>
      <c r="AB344" s="3"/>
      <c r="AC344" s="3"/>
    </row>
    <row r="345" spans="10:29">
      <c r="J345" s="3"/>
      <c r="K345" s="3"/>
      <c r="L345" s="3"/>
      <c r="M345" s="3"/>
      <c r="N345" s="3"/>
      <c r="O345" s="3"/>
      <c r="P345" s="3"/>
      <c r="Q345" s="3"/>
      <c r="R345" s="3"/>
      <c r="S345" s="3"/>
      <c r="T345" s="3"/>
      <c r="U345" s="3"/>
      <c r="V345" s="3"/>
      <c r="W345" s="3"/>
      <c r="X345" s="3"/>
      <c r="Y345" s="3"/>
      <c r="Z345" s="3"/>
      <c r="AA345" s="3"/>
      <c r="AB345" s="3"/>
      <c r="AC345" s="3"/>
    </row>
    <row r="346" spans="10:29">
      <c r="J346" s="3"/>
      <c r="K346" s="3"/>
      <c r="L346" s="3"/>
      <c r="M346" s="3"/>
      <c r="N346" s="3"/>
      <c r="O346" s="3"/>
      <c r="P346" s="3"/>
      <c r="Q346" s="3"/>
      <c r="R346" s="3"/>
      <c r="S346" s="3"/>
      <c r="T346" s="3"/>
      <c r="U346" s="3"/>
      <c r="V346" s="3"/>
      <c r="W346" s="3"/>
      <c r="X346" s="3"/>
      <c r="Y346" s="3"/>
      <c r="Z346" s="3"/>
      <c r="AA346" s="3"/>
      <c r="AB346" s="3"/>
      <c r="AC346" s="3"/>
    </row>
    <row r="347" spans="10:29">
      <c r="J347" s="3"/>
      <c r="K347" s="3"/>
      <c r="L347" s="3"/>
      <c r="M347" s="3"/>
      <c r="N347" s="3"/>
      <c r="O347" s="3"/>
      <c r="P347" s="3"/>
      <c r="Q347" s="3"/>
      <c r="R347" s="3"/>
      <c r="S347" s="3"/>
      <c r="T347" s="3"/>
      <c r="U347" s="3"/>
      <c r="V347" s="3"/>
      <c r="W347" s="3"/>
      <c r="X347" s="3"/>
      <c r="Y347" s="3"/>
      <c r="Z347" s="3"/>
      <c r="AA347" s="3"/>
      <c r="AB347" s="3"/>
      <c r="AC347" s="3"/>
    </row>
    <row r="348" spans="10:29">
      <c r="J348" s="3"/>
      <c r="K348" s="3"/>
      <c r="L348" s="3"/>
      <c r="M348" s="3"/>
      <c r="N348" s="3"/>
      <c r="O348" s="3"/>
      <c r="P348" s="3"/>
      <c r="Q348" s="3"/>
      <c r="R348" s="3"/>
      <c r="S348" s="3"/>
      <c r="T348" s="3"/>
      <c r="U348" s="3"/>
      <c r="V348" s="3"/>
      <c r="W348" s="3"/>
      <c r="X348" s="3"/>
      <c r="Y348" s="3"/>
      <c r="Z348" s="3"/>
      <c r="AA348" s="3"/>
      <c r="AB348" s="3"/>
      <c r="AC348" s="3"/>
    </row>
    <row r="349" spans="10:29">
      <c r="J349" s="3"/>
      <c r="K349" s="3"/>
      <c r="L349" s="3"/>
      <c r="M349" s="3"/>
      <c r="N349" s="3"/>
      <c r="O349" s="3"/>
      <c r="P349" s="3"/>
      <c r="Q349" s="3"/>
      <c r="R349" s="3"/>
      <c r="S349" s="3"/>
      <c r="T349" s="3"/>
      <c r="U349" s="3"/>
      <c r="V349" s="3"/>
      <c r="W349" s="3"/>
      <c r="X349" s="3"/>
      <c r="Y349" s="3"/>
      <c r="Z349" s="3"/>
      <c r="AA349" s="3"/>
      <c r="AB349" s="3"/>
      <c r="AC349" s="3"/>
    </row>
    <row r="350" spans="10:29">
      <c r="J350" s="3"/>
      <c r="K350" s="3"/>
      <c r="L350" s="3"/>
      <c r="M350" s="3"/>
      <c r="N350" s="3"/>
      <c r="O350" s="3"/>
      <c r="P350" s="3"/>
      <c r="Q350" s="3"/>
      <c r="R350" s="3"/>
      <c r="S350" s="3"/>
      <c r="T350" s="3"/>
      <c r="U350" s="3"/>
      <c r="V350" s="3"/>
      <c r="W350" s="3"/>
      <c r="X350" s="3"/>
      <c r="Y350" s="3"/>
      <c r="Z350" s="3"/>
      <c r="AA350" s="3"/>
      <c r="AB350" s="3"/>
      <c r="AC350" s="3"/>
    </row>
    <row r="351" spans="10:29">
      <c r="J351" s="3"/>
      <c r="K351" s="3"/>
      <c r="L351" s="3"/>
      <c r="M351" s="3"/>
      <c r="N351" s="3"/>
      <c r="O351" s="3"/>
      <c r="P351" s="3"/>
      <c r="Q351" s="3"/>
      <c r="R351" s="3"/>
      <c r="S351" s="3"/>
      <c r="T351" s="3"/>
      <c r="U351" s="3"/>
      <c r="V351" s="3"/>
      <c r="W351" s="3"/>
      <c r="X351" s="3"/>
      <c r="Y351" s="3"/>
      <c r="Z351" s="3"/>
      <c r="AA351" s="3"/>
      <c r="AB351" s="3"/>
      <c r="AC351" s="3"/>
    </row>
    <row r="352" spans="10:29">
      <c r="J352" s="3"/>
      <c r="K352" s="3"/>
      <c r="L352" s="3"/>
      <c r="M352" s="3"/>
      <c r="N352" s="3"/>
      <c r="O352" s="3"/>
      <c r="P352" s="3"/>
      <c r="Q352" s="3"/>
      <c r="R352" s="3"/>
      <c r="S352" s="3"/>
      <c r="T352" s="3"/>
      <c r="U352" s="3"/>
      <c r="V352" s="3"/>
      <c r="W352" s="3"/>
      <c r="X352" s="3"/>
      <c r="Y352" s="3"/>
      <c r="Z352" s="3"/>
      <c r="AA352" s="3"/>
      <c r="AB352" s="3"/>
      <c r="AC352" s="3"/>
    </row>
    <row r="353" spans="10:29">
      <c r="J353" s="3"/>
      <c r="K353" s="3"/>
      <c r="L353" s="3"/>
      <c r="M353" s="3"/>
      <c r="N353" s="3"/>
      <c r="O353" s="3"/>
      <c r="P353" s="3"/>
      <c r="Q353" s="3"/>
      <c r="R353" s="3"/>
      <c r="S353" s="3"/>
      <c r="T353" s="3"/>
      <c r="U353" s="3"/>
      <c r="V353" s="3"/>
      <c r="W353" s="3"/>
      <c r="X353" s="3"/>
      <c r="Y353" s="3"/>
      <c r="Z353" s="3"/>
      <c r="AA353" s="3"/>
      <c r="AB353" s="3"/>
      <c r="AC353" s="3"/>
    </row>
    <row r="354" spans="10:29">
      <c r="J354" s="3"/>
      <c r="K354" s="3"/>
      <c r="L354" s="3"/>
      <c r="M354" s="3"/>
      <c r="N354" s="3"/>
      <c r="O354" s="3"/>
      <c r="P354" s="3"/>
      <c r="Q354" s="3"/>
      <c r="R354" s="3"/>
      <c r="S354" s="3"/>
      <c r="T354" s="3"/>
      <c r="U354" s="3"/>
      <c r="V354" s="3"/>
      <c r="W354" s="3"/>
      <c r="X354" s="3"/>
      <c r="Y354" s="3"/>
      <c r="Z354" s="3"/>
      <c r="AA354" s="3"/>
      <c r="AB354" s="3"/>
      <c r="AC354" s="3"/>
    </row>
    <row r="355" spans="10:29">
      <c r="J355" s="3"/>
      <c r="K355" s="3"/>
      <c r="L355" s="3"/>
      <c r="M355" s="3"/>
      <c r="N355" s="3"/>
      <c r="O355" s="3"/>
      <c r="P355" s="3"/>
      <c r="Q355" s="3"/>
      <c r="R355" s="3"/>
      <c r="S355" s="3"/>
      <c r="T355" s="3"/>
      <c r="U355" s="3"/>
      <c r="V355" s="3"/>
      <c r="W355" s="3"/>
      <c r="X355" s="3"/>
      <c r="Y355" s="3"/>
      <c r="Z355" s="3"/>
      <c r="AA355" s="3"/>
      <c r="AB355" s="3"/>
      <c r="AC355" s="3"/>
    </row>
    <row r="356" spans="10:29">
      <c r="J356" s="3"/>
      <c r="K356" s="3"/>
      <c r="L356" s="3"/>
      <c r="M356" s="3"/>
      <c r="N356" s="3"/>
      <c r="O356" s="3"/>
      <c r="P356" s="3"/>
      <c r="Q356" s="3"/>
      <c r="R356" s="3"/>
      <c r="S356" s="3"/>
      <c r="T356" s="3"/>
      <c r="U356" s="3"/>
      <c r="V356" s="3"/>
      <c r="W356" s="3"/>
      <c r="X356" s="3"/>
      <c r="Y356" s="3"/>
      <c r="Z356" s="3"/>
      <c r="AA356" s="3"/>
      <c r="AB356" s="3"/>
      <c r="AC356" s="3"/>
    </row>
    <row r="357" spans="10:29">
      <c r="J357" s="3"/>
      <c r="K357" s="3"/>
      <c r="L357" s="3"/>
      <c r="M357" s="3"/>
      <c r="N357" s="3"/>
      <c r="O357" s="3"/>
      <c r="P357" s="3"/>
      <c r="Q357" s="3"/>
      <c r="R357" s="3"/>
      <c r="S357" s="3"/>
      <c r="T357" s="3"/>
      <c r="U357" s="3"/>
      <c r="V357" s="3"/>
      <c r="W357" s="3"/>
      <c r="X357" s="3"/>
      <c r="Y357" s="3"/>
      <c r="Z357" s="3"/>
      <c r="AA357" s="3"/>
      <c r="AB357" s="3"/>
      <c r="AC357" s="3"/>
    </row>
    <row r="358" spans="10:29">
      <c r="J358" s="3"/>
      <c r="K358" s="3"/>
      <c r="L358" s="3"/>
      <c r="M358" s="3"/>
      <c r="N358" s="3"/>
      <c r="O358" s="3"/>
      <c r="P358" s="3"/>
      <c r="Q358" s="3"/>
      <c r="R358" s="3"/>
      <c r="S358" s="3"/>
      <c r="T358" s="3"/>
      <c r="U358" s="3"/>
      <c r="V358" s="3"/>
      <c r="W358" s="3"/>
      <c r="X358" s="3"/>
      <c r="Y358" s="3"/>
      <c r="Z358" s="3"/>
      <c r="AA358" s="3"/>
      <c r="AB358" s="3"/>
      <c r="AC358" s="3"/>
    </row>
    <row r="359" spans="10:29">
      <c r="J359" s="3"/>
      <c r="K359" s="3"/>
      <c r="L359" s="3"/>
      <c r="M359" s="3"/>
      <c r="N359" s="3"/>
      <c r="O359" s="3"/>
      <c r="P359" s="3"/>
      <c r="Q359" s="3"/>
      <c r="R359" s="3"/>
      <c r="S359" s="3"/>
      <c r="T359" s="3"/>
      <c r="U359" s="3"/>
      <c r="V359" s="3"/>
      <c r="W359" s="3"/>
      <c r="X359" s="3"/>
      <c r="Y359" s="3"/>
      <c r="Z359" s="3"/>
      <c r="AA359" s="3"/>
      <c r="AB359" s="3"/>
      <c r="AC359" s="3"/>
    </row>
    <row r="360" spans="10:29">
      <c r="J360" s="3"/>
      <c r="K360" s="3"/>
      <c r="L360" s="3"/>
      <c r="M360" s="3"/>
      <c r="N360" s="3"/>
      <c r="O360" s="3"/>
      <c r="P360" s="3"/>
      <c r="Q360" s="3"/>
      <c r="R360" s="3"/>
      <c r="S360" s="3"/>
      <c r="T360" s="3"/>
      <c r="U360" s="3"/>
      <c r="V360" s="3"/>
      <c r="W360" s="3"/>
      <c r="X360" s="3"/>
      <c r="Y360" s="3"/>
      <c r="Z360" s="3"/>
      <c r="AA360" s="3"/>
      <c r="AB360" s="3"/>
      <c r="AC360" s="3"/>
    </row>
    <row r="361" spans="10:29">
      <c r="J361" s="3"/>
      <c r="K361" s="3"/>
      <c r="L361" s="3"/>
      <c r="M361" s="3"/>
      <c r="N361" s="3"/>
      <c r="O361" s="3"/>
      <c r="P361" s="3"/>
      <c r="Q361" s="3"/>
      <c r="R361" s="3"/>
      <c r="S361" s="3"/>
      <c r="T361" s="3"/>
      <c r="U361" s="3"/>
      <c r="V361" s="3"/>
      <c r="W361" s="3"/>
      <c r="X361" s="3"/>
      <c r="Y361" s="3"/>
      <c r="Z361" s="3"/>
      <c r="AA361" s="3"/>
      <c r="AB361" s="3"/>
      <c r="AC361" s="3"/>
    </row>
    <row r="362" spans="10:29">
      <c r="J362" s="3"/>
      <c r="K362" s="3"/>
      <c r="L362" s="3"/>
      <c r="M362" s="3"/>
      <c r="N362" s="3"/>
      <c r="O362" s="3"/>
      <c r="P362" s="3"/>
      <c r="Q362" s="3"/>
      <c r="R362" s="3"/>
      <c r="S362" s="3"/>
      <c r="T362" s="3"/>
      <c r="U362" s="3"/>
      <c r="V362" s="3"/>
      <c r="W362" s="3"/>
      <c r="X362" s="3"/>
      <c r="Y362" s="3"/>
      <c r="Z362" s="3"/>
      <c r="AA362" s="3"/>
      <c r="AB362" s="3"/>
      <c r="AC362" s="3"/>
    </row>
    <row r="363" spans="10:29">
      <c r="J363" s="3"/>
      <c r="K363" s="3"/>
      <c r="L363" s="3"/>
      <c r="M363" s="3"/>
      <c r="N363" s="3"/>
      <c r="O363" s="3"/>
      <c r="P363" s="3"/>
      <c r="Q363" s="3"/>
      <c r="R363" s="3"/>
      <c r="S363" s="3"/>
      <c r="T363" s="3"/>
      <c r="U363" s="3"/>
      <c r="V363" s="3"/>
      <c r="W363" s="3"/>
      <c r="X363" s="3"/>
      <c r="Y363" s="3"/>
      <c r="Z363" s="3"/>
      <c r="AA363" s="3"/>
      <c r="AB363" s="3"/>
      <c r="AC363" s="3"/>
    </row>
    <row r="364" spans="10:29">
      <c r="J364" s="3"/>
      <c r="K364" s="3"/>
      <c r="L364" s="3"/>
      <c r="M364" s="3"/>
      <c r="N364" s="3"/>
      <c r="O364" s="3"/>
      <c r="P364" s="3"/>
      <c r="Q364" s="3"/>
      <c r="R364" s="3"/>
      <c r="S364" s="3"/>
      <c r="T364" s="3"/>
      <c r="U364" s="3"/>
      <c r="V364" s="3"/>
      <c r="W364" s="3"/>
      <c r="X364" s="3"/>
      <c r="Y364" s="3"/>
      <c r="Z364" s="3"/>
      <c r="AA364" s="3"/>
      <c r="AB364" s="3"/>
      <c r="AC364" s="3"/>
    </row>
    <row r="365" spans="10:29">
      <c r="J365" s="3"/>
      <c r="K365" s="3"/>
      <c r="L365" s="3"/>
      <c r="M365" s="3"/>
      <c r="N365" s="3"/>
      <c r="O365" s="3"/>
      <c r="P365" s="3"/>
      <c r="Q365" s="3"/>
      <c r="R365" s="3"/>
      <c r="S365" s="3"/>
      <c r="T365" s="3"/>
      <c r="U365" s="3"/>
      <c r="V365" s="3"/>
      <c r="W365" s="3"/>
      <c r="X365" s="3"/>
      <c r="Y365" s="3"/>
      <c r="Z365" s="3"/>
      <c r="AA365" s="3"/>
      <c r="AB365" s="3"/>
      <c r="AC365" s="3"/>
    </row>
    <row r="366" spans="10:29">
      <c r="J366" s="3"/>
      <c r="K366" s="3"/>
      <c r="L366" s="3"/>
      <c r="M366" s="3"/>
      <c r="N366" s="3"/>
      <c r="O366" s="3"/>
      <c r="P366" s="3"/>
      <c r="Q366" s="3"/>
      <c r="R366" s="3"/>
      <c r="S366" s="3"/>
      <c r="T366" s="3"/>
      <c r="U366" s="3"/>
      <c r="V366" s="3"/>
      <c r="W366" s="3"/>
      <c r="X366" s="3"/>
      <c r="Y366" s="3"/>
      <c r="Z366" s="3"/>
      <c r="AA366" s="3"/>
      <c r="AB366" s="3"/>
      <c r="AC366" s="3"/>
    </row>
    <row r="367" spans="10:29">
      <c r="J367" s="3"/>
      <c r="K367" s="3"/>
      <c r="L367" s="3"/>
      <c r="M367" s="3"/>
      <c r="N367" s="3"/>
      <c r="O367" s="3"/>
      <c r="P367" s="3"/>
      <c r="Q367" s="3"/>
      <c r="R367" s="3"/>
      <c r="S367" s="3"/>
      <c r="T367" s="3"/>
      <c r="U367" s="3"/>
      <c r="V367" s="3"/>
      <c r="W367" s="3"/>
      <c r="X367" s="3"/>
      <c r="Y367" s="3"/>
      <c r="Z367" s="3"/>
      <c r="AA367" s="3"/>
      <c r="AB367" s="3"/>
      <c r="AC367" s="3"/>
    </row>
    <row r="368" spans="10:29">
      <c r="J368" s="3"/>
      <c r="K368" s="3"/>
      <c r="L368" s="3"/>
      <c r="M368" s="3"/>
      <c r="N368" s="3"/>
      <c r="O368" s="3"/>
      <c r="P368" s="3"/>
      <c r="Q368" s="3"/>
      <c r="R368" s="3"/>
      <c r="S368" s="3"/>
      <c r="T368" s="3"/>
      <c r="U368" s="3"/>
      <c r="V368" s="3"/>
      <c r="W368" s="3"/>
      <c r="X368" s="3"/>
      <c r="Y368" s="3"/>
      <c r="Z368" s="3"/>
      <c r="AA368" s="3"/>
      <c r="AB368" s="3"/>
      <c r="AC368" s="3"/>
    </row>
    <row r="369" spans="10:29">
      <c r="J369" s="3"/>
      <c r="K369" s="3"/>
      <c r="L369" s="3"/>
      <c r="M369" s="3"/>
      <c r="N369" s="3"/>
      <c r="O369" s="3"/>
      <c r="P369" s="3"/>
      <c r="Q369" s="3"/>
      <c r="R369" s="3"/>
      <c r="S369" s="3"/>
      <c r="T369" s="3"/>
      <c r="U369" s="3"/>
      <c r="V369" s="3"/>
      <c r="W369" s="3"/>
      <c r="X369" s="3"/>
      <c r="Y369" s="3"/>
      <c r="Z369" s="3"/>
      <c r="AA369" s="3"/>
      <c r="AB369" s="3"/>
      <c r="AC369" s="3"/>
    </row>
    <row r="370" spans="10:29">
      <c r="J370" s="3"/>
      <c r="K370" s="3"/>
      <c r="L370" s="3"/>
      <c r="M370" s="3"/>
      <c r="N370" s="3"/>
      <c r="O370" s="3"/>
      <c r="P370" s="3"/>
      <c r="Q370" s="3"/>
      <c r="R370" s="3"/>
      <c r="S370" s="3"/>
      <c r="T370" s="3"/>
      <c r="U370" s="3"/>
      <c r="V370" s="3"/>
      <c r="W370" s="3"/>
      <c r="X370" s="3"/>
      <c r="Y370" s="3"/>
      <c r="Z370" s="3"/>
      <c r="AA370" s="3"/>
      <c r="AB370" s="3"/>
      <c r="AC370" s="3"/>
    </row>
    <row r="371" spans="10:29">
      <c r="J371" s="3"/>
      <c r="K371" s="3"/>
      <c r="L371" s="3"/>
      <c r="M371" s="3"/>
      <c r="N371" s="3"/>
      <c r="O371" s="3"/>
      <c r="P371" s="3"/>
      <c r="Q371" s="3"/>
      <c r="R371" s="3"/>
      <c r="S371" s="3"/>
      <c r="T371" s="3"/>
      <c r="U371" s="3"/>
      <c r="V371" s="3"/>
      <c r="W371" s="3"/>
      <c r="X371" s="3"/>
      <c r="Y371" s="3"/>
      <c r="Z371" s="3"/>
      <c r="AA371" s="3"/>
      <c r="AB371" s="3"/>
      <c r="AC371" s="3"/>
    </row>
    <row r="372" spans="10:29">
      <c r="J372" s="3"/>
      <c r="K372" s="3"/>
      <c r="L372" s="3"/>
      <c r="M372" s="3"/>
      <c r="N372" s="3"/>
      <c r="O372" s="3"/>
      <c r="P372" s="3"/>
      <c r="Q372" s="3"/>
      <c r="R372" s="3"/>
      <c r="S372" s="3"/>
      <c r="T372" s="3"/>
      <c r="U372" s="3"/>
      <c r="V372" s="3"/>
      <c r="W372" s="3"/>
      <c r="X372" s="3"/>
      <c r="Y372" s="3"/>
      <c r="Z372" s="3"/>
      <c r="AA372" s="3"/>
      <c r="AB372" s="3"/>
      <c r="AC372" s="3"/>
    </row>
    <row r="373" spans="10:29">
      <c r="J373" s="3"/>
      <c r="K373" s="3"/>
      <c r="L373" s="3"/>
      <c r="M373" s="3"/>
      <c r="N373" s="3"/>
      <c r="O373" s="3"/>
      <c r="P373" s="3"/>
      <c r="Q373" s="3"/>
      <c r="R373" s="3"/>
      <c r="S373" s="3"/>
      <c r="T373" s="3"/>
      <c r="U373" s="3"/>
      <c r="V373" s="3"/>
      <c r="W373" s="3"/>
      <c r="X373" s="3"/>
      <c r="Y373" s="3"/>
      <c r="Z373" s="3"/>
      <c r="AA373" s="3"/>
      <c r="AB373" s="3"/>
      <c r="AC373" s="3"/>
    </row>
    <row r="374" spans="10:29">
      <c r="J374" s="3"/>
      <c r="K374" s="3"/>
      <c r="L374" s="3"/>
      <c r="M374" s="3"/>
      <c r="N374" s="3"/>
      <c r="O374" s="3"/>
      <c r="P374" s="3"/>
      <c r="Q374" s="3"/>
      <c r="R374" s="3"/>
      <c r="S374" s="3"/>
      <c r="T374" s="3"/>
      <c r="U374" s="3"/>
      <c r="V374" s="3"/>
      <c r="W374" s="3"/>
      <c r="X374" s="3"/>
      <c r="Y374" s="3"/>
      <c r="Z374" s="3"/>
      <c r="AA374" s="3"/>
      <c r="AB374" s="3"/>
      <c r="AC374" s="3"/>
    </row>
    <row r="375" spans="10:29">
      <c r="J375" s="3"/>
      <c r="K375" s="3"/>
      <c r="L375" s="3"/>
      <c r="M375" s="3"/>
      <c r="N375" s="3"/>
      <c r="O375" s="3"/>
      <c r="P375" s="3"/>
      <c r="Q375" s="3"/>
      <c r="R375" s="3"/>
      <c r="S375" s="3"/>
      <c r="T375" s="3"/>
      <c r="U375" s="3"/>
      <c r="V375" s="3"/>
      <c r="W375" s="3"/>
      <c r="X375" s="3"/>
      <c r="Y375" s="3"/>
      <c r="Z375" s="3"/>
      <c r="AA375" s="3"/>
      <c r="AB375" s="3"/>
      <c r="AC375" s="3"/>
    </row>
    <row r="376" spans="10:29">
      <c r="J376" s="3"/>
      <c r="K376" s="3"/>
      <c r="L376" s="3"/>
      <c r="M376" s="3"/>
      <c r="N376" s="3"/>
      <c r="O376" s="3"/>
      <c r="P376" s="3"/>
      <c r="Q376" s="3"/>
      <c r="R376" s="3"/>
      <c r="S376" s="3"/>
      <c r="T376" s="3"/>
      <c r="U376" s="3"/>
      <c r="V376" s="3"/>
      <c r="W376" s="3"/>
      <c r="X376" s="3"/>
      <c r="Y376" s="3"/>
      <c r="Z376" s="3"/>
      <c r="AA376" s="3"/>
      <c r="AB376" s="3"/>
      <c r="AC376" s="3"/>
    </row>
    <row r="377" spans="10:29">
      <c r="J377" s="3"/>
      <c r="K377" s="3"/>
      <c r="L377" s="3"/>
      <c r="M377" s="3"/>
      <c r="N377" s="3"/>
      <c r="O377" s="3"/>
      <c r="P377" s="3"/>
      <c r="Q377" s="3"/>
      <c r="R377" s="3"/>
      <c r="S377" s="3"/>
      <c r="T377" s="3"/>
      <c r="U377" s="3"/>
      <c r="V377" s="3"/>
      <c r="W377" s="3"/>
      <c r="X377" s="3"/>
      <c r="Y377" s="3"/>
      <c r="Z377" s="3"/>
      <c r="AA377" s="3"/>
      <c r="AB377" s="3"/>
      <c r="AC377" s="3"/>
    </row>
    <row r="378" spans="10:29">
      <c r="J378" s="3"/>
      <c r="K378" s="3"/>
      <c r="L378" s="3"/>
      <c r="M378" s="3"/>
      <c r="N378" s="3"/>
      <c r="O378" s="3"/>
      <c r="P378" s="3"/>
      <c r="Q378" s="3"/>
      <c r="R378" s="3"/>
      <c r="S378" s="3"/>
      <c r="T378" s="3"/>
      <c r="U378" s="3"/>
      <c r="V378" s="3"/>
      <c r="W378" s="3"/>
      <c r="X378" s="3"/>
      <c r="Y378" s="3"/>
      <c r="Z378" s="3"/>
      <c r="AA378" s="3"/>
      <c r="AB378" s="3"/>
      <c r="AC378" s="3"/>
    </row>
    <row r="379" spans="10:29">
      <c r="J379" s="3"/>
      <c r="K379" s="3"/>
      <c r="L379" s="3"/>
      <c r="M379" s="3"/>
      <c r="N379" s="3"/>
      <c r="O379" s="3"/>
      <c r="P379" s="3"/>
      <c r="Q379" s="3"/>
      <c r="R379" s="3"/>
      <c r="S379" s="3"/>
      <c r="T379" s="3"/>
      <c r="U379" s="3"/>
      <c r="V379" s="3"/>
      <c r="W379" s="3"/>
      <c r="X379" s="3"/>
      <c r="Y379" s="3"/>
      <c r="Z379" s="3"/>
      <c r="AA379" s="3"/>
      <c r="AB379" s="3"/>
      <c r="AC379" s="3"/>
    </row>
    <row r="380" spans="10:29">
      <c r="J380" s="3"/>
      <c r="K380" s="3"/>
      <c r="L380" s="3"/>
      <c r="M380" s="3"/>
      <c r="N380" s="3"/>
      <c r="O380" s="3"/>
      <c r="P380" s="3"/>
      <c r="Q380" s="3"/>
      <c r="R380" s="3"/>
      <c r="S380" s="3"/>
      <c r="T380" s="3"/>
      <c r="U380" s="3"/>
      <c r="V380" s="3"/>
      <c r="W380" s="3"/>
      <c r="X380" s="3"/>
      <c r="Y380" s="3"/>
      <c r="Z380" s="3"/>
      <c r="AA380" s="3"/>
      <c r="AB380" s="3"/>
      <c r="AC380" s="3"/>
    </row>
    <row r="381" spans="10:29">
      <c r="J381" s="3"/>
      <c r="K381" s="3"/>
      <c r="L381" s="3"/>
      <c r="M381" s="3"/>
      <c r="N381" s="3"/>
      <c r="O381" s="3"/>
      <c r="P381" s="3"/>
      <c r="Q381" s="3"/>
      <c r="R381" s="3"/>
      <c r="S381" s="3"/>
      <c r="T381" s="3"/>
      <c r="U381" s="3"/>
      <c r="V381" s="3"/>
      <c r="W381" s="3"/>
      <c r="X381" s="3"/>
      <c r="Y381" s="3"/>
      <c r="Z381" s="3"/>
      <c r="AA381" s="3"/>
      <c r="AB381" s="3"/>
      <c r="AC381" s="3"/>
    </row>
    <row r="382" spans="10:29">
      <c r="J382" s="3"/>
      <c r="K382" s="3"/>
      <c r="L382" s="3"/>
      <c r="M382" s="3"/>
      <c r="N382" s="3"/>
      <c r="O382" s="3"/>
      <c r="P382" s="3"/>
      <c r="Q382" s="3"/>
      <c r="R382" s="3"/>
      <c r="S382" s="3"/>
      <c r="T382" s="3"/>
      <c r="U382" s="3"/>
      <c r="V382" s="3"/>
      <c r="W382" s="3"/>
      <c r="X382" s="3"/>
      <c r="Y382" s="3"/>
      <c r="Z382" s="3"/>
      <c r="AA382" s="3"/>
      <c r="AB382" s="3"/>
      <c r="AC382" s="3"/>
    </row>
    <row r="383" spans="10:29">
      <c r="J383" s="3"/>
      <c r="K383" s="3"/>
      <c r="L383" s="3"/>
      <c r="M383" s="3"/>
      <c r="N383" s="3"/>
      <c r="O383" s="3"/>
      <c r="P383" s="3"/>
      <c r="Q383" s="3"/>
      <c r="R383" s="3"/>
      <c r="S383" s="3"/>
      <c r="T383" s="3"/>
      <c r="U383" s="3"/>
      <c r="V383" s="3"/>
      <c r="W383" s="3"/>
      <c r="X383" s="3"/>
      <c r="Y383" s="3"/>
      <c r="Z383" s="3"/>
      <c r="AA383" s="3"/>
      <c r="AB383" s="3"/>
      <c r="AC383" s="3"/>
    </row>
    <row r="384" spans="10:29">
      <c r="J384" s="3"/>
      <c r="K384" s="3"/>
      <c r="L384" s="3"/>
      <c r="M384" s="3"/>
      <c r="N384" s="3"/>
      <c r="O384" s="3"/>
      <c r="P384" s="3"/>
      <c r="Q384" s="3"/>
      <c r="R384" s="3"/>
      <c r="S384" s="3"/>
      <c r="T384" s="3"/>
      <c r="U384" s="3"/>
      <c r="V384" s="3"/>
      <c r="W384" s="3"/>
      <c r="X384" s="3"/>
      <c r="Y384" s="3"/>
      <c r="Z384" s="3"/>
      <c r="AA384" s="3"/>
      <c r="AB384" s="3"/>
      <c r="AC384" s="3"/>
    </row>
    <row r="385" spans="10:29">
      <c r="J385" s="3"/>
      <c r="K385" s="3"/>
      <c r="L385" s="3"/>
      <c r="M385" s="3"/>
      <c r="N385" s="3"/>
      <c r="O385" s="3"/>
      <c r="P385" s="3"/>
      <c r="Q385" s="3"/>
      <c r="R385" s="3"/>
      <c r="S385" s="3"/>
      <c r="T385" s="3"/>
      <c r="U385" s="3"/>
      <c r="V385" s="3"/>
      <c r="W385" s="3"/>
      <c r="X385" s="3"/>
      <c r="Y385" s="3"/>
      <c r="Z385" s="3"/>
      <c r="AA385" s="3"/>
      <c r="AB385" s="3"/>
      <c r="AC385" s="3"/>
    </row>
    <row r="386" spans="10:29">
      <c r="J386" s="3"/>
      <c r="K386" s="3"/>
      <c r="L386" s="3"/>
      <c r="M386" s="3"/>
      <c r="N386" s="3"/>
      <c r="O386" s="3"/>
      <c r="P386" s="3"/>
      <c r="Q386" s="3"/>
      <c r="R386" s="3"/>
      <c r="S386" s="3"/>
      <c r="T386" s="3"/>
      <c r="U386" s="3"/>
      <c r="V386" s="3"/>
      <c r="W386" s="3"/>
      <c r="X386" s="3"/>
      <c r="Y386" s="3"/>
      <c r="Z386" s="3"/>
      <c r="AA386" s="3"/>
      <c r="AB386" s="3"/>
      <c r="AC386" s="3"/>
    </row>
    <row r="387" spans="10:29">
      <c r="J387" s="3"/>
      <c r="K387" s="3"/>
      <c r="L387" s="3"/>
      <c r="M387" s="3"/>
      <c r="N387" s="3"/>
      <c r="O387" s="3"/>
      <c r="P387" s="3"/>
      <c r="Q387" s="3"/>
      <c r="R387" s="3"/>
      <c r="S387" s="3"/>
      <c r="T387" s="3"/>
      <c r="U387" s="3"/>
      <c r="V387" s="3"/>
      <c r="W387" s="3"/>
      <c r="X387" s="3"/>
      <c r="Y387" s="3"/>
      <c r="Z387" s="3"/>
      <c r="AA387" s="3"/>
      <c r="AB387" s="3"/>
      <c r="AC387" s="3"/>
    </row>
    <row r="388" spans="10:29">
      <c r="J388" s="3"/>
      <c r="K388" s="3"/>
      <c r="L388" s="3"/>
      <c r="M388" s="3"/>
      <c r="N388" s="3"/>
      <c r="O388" s="3"/>
      <c r="P388" s="3"/>
      <c r="Q388" s="3"/>
      <c r="R388" s="3"/>
      <c r="S388" s="3"/>
      <c r="T388" s="3"/>
      <c r="U388" s="3"/>
      <c r="V388" s="3"/>
      <c r="W388" s="3"/>
      <c r="X388" s="3"/>
      <c r="Y388" s="3"/>
      <c r="Z388" s="3"/>
      <c r="AA388" s="3"/>
      <c r="AB388" s="3"/>
      <c r="AC388" s="3"/>
    </row>
    <row r="389" spans="10:29">
      <c r="J389" s="3"/>
      <c r="K389" s="3"/>
      <c r="L389" s="3"/>
      <c r="M389" s="3"/>
      <c r="N389" s="3"/>
      <c r="O389" s="3"/>
      <c r="P389" s="3"/>
      <c r="Q389" s="3"/>
      <c r="R389" s="3"/>
      <c r="S389" s="3"/>
      <c r="T389" s="3"/>
      <c r="U389" s="3"/>
      <c r="V389" s="3"/>
      <c r="W389" s="3"/>
      <c r="X389" s="3"/>
      <c r="Y389" s="3"/>
      <c r="Z389" s="3"/>
      <c r="AA389" s="3"/>
      <c r="AB389" s="3"/>
      <c r="AC389" s="3"/>
    </row>
    <row r="390" spans="10:29">
      <c r="J390" s="3"/>
      <c r="K390" s="3"/>
      <c r="L390" s="3"/>
      <c r="M390" s="3"/>
      <c r="N390" s="3"/>
      <c r="O390" s="3"/>
      <c r="P390" s="3"/>
      <c r="Q390" s="3"/>
      <c r="R390" s="3"/>
      <c r="S390" s="3"/>
      <c r="T390" s="3"/>
      <c r="U390" s="3"/>
      <c r="V390" s="3"/>
      <c r="W390" s="3"/>
      <c r="X390" s="3"/>
      <c r="Y390" s="3"/>
      <c r="Z390" s="3"/>
      <c r="AA390" s="3"/>
      <c r="AB390" s="3"/>
      <c r="AC390" s="3"/>
    </row>
    <row r="391" spans="10:29">
      <c r="J391" s="3"/>
      <c r="K391" s="3"/>
      <c r="L391" s="3"/>
      <c r="M391" s="3"/>
      <c r="N391" s="3"/>
      <c r="O391" s="3"/>
      <c r="P391" s="3"/>
      <c r="Q391" s="3"/>
      <c r="R391" s="3"/>
      <c r="S391" s="3"/>
      <c r="T391" s="3"/>
      <c r="U391" s="3"/>
      <c r="V391" s="3"/>
      <c r="W391" s="3"/>
      <c r="X391" s="3"/>
      <c r="Y391" s="3"/>
      <c r="Z391" s="3"/>
      <c r="AA391" s="3"/>
      <c r="AB391" s="3"/>
      <c r="AC391" s="3"/>
    </row>
    <row r="392" spans="10:29">
      <c r="J392" s="3"/>
      <c r="K392" s="3"/>
      <c r="L392" s="3"/>
      <c r="M392" s="3"/>
      <c r="N392" s="3"/>
      <c r="O392" s="3"/>
      <c r="P392" s="3"/>
      <c r="Q392" s="3"/>
      <c r="R392" s="3"/>
      <c r="S392" s="3"/>
      <c r="T392" s="3"/>
      <c r="U392" s="3"/>
      <c r="V392" s="3"/>
      <c r="W392" s="3"/>
      <c r="X392" s="3"/>
      <c r="Y392" s="3"/>
      <c r="Z392" s="3"/>
      <c r="AA392" s="3"/>
      <c r="AB392" s="3"/>
      <c r="AC392" s="3"/>
    </row>
    <row r="393" spans="10:29">
      <c r="J393" s="3"/>
      <c r="K393" s="3"/>
      <c r="L393" s="3"/>
      <c r="M393" s="3"/>
      <c r="N393" s="3"/>
      <c r="O393" s="3"/>
      <c r="P393" s="3"/>
      <c r="Q393" s="3"/>
      <c r="R393" s="3"/>
      <c r="S393" s="3"/>
      <c r="T393" s="3"/>
      <c r="U393" s="3"/>
      <c r="V393" s="3"/>
      <c r="W393" s="3"/>
      <c r="X393" s="3"/>
      <c r="Y393" s="3"/>
      <c r="Z393" s="3"/>
      <c r="AA393" s="3"/>
      <c r="AB393" s="3"/>
      <c r="AC393" s="3"/>
    </row>
    <row r="394" spans="10:29">
      <c r="J394" s="3"/>
      <c r="K394" s="3"/>
      <c r="L394" s="3"/>
      <c r="M394" s="3"/>
      <c r="N394" s="3"/>
      <c r="O394" s="3"/>
      <c r="P394" s="3"/>
      <c r="Q394" s="3"/>
      <c r="R394" s="3"/>
      <c r="S394" s="3"/>
      <c r="T394" s="3"/>
      <c r="U394" s="3"/>
      <c r="V394" s="3"/>
      <c r="W394" s="3"/>
      <c r="X394" s="3"/>
      <c r="Y394" s="3"/>
      <c r="Z394" s="3"/>
      <c r="AA394" s="3"/>
      <c r="AB394" s="3"/>
      <c r="AC394" s="3"/>
    </row>
    <row r="395" spans="10:29">
      <c r="J395" s="3"/>
      <c r="K395" s="3"/>
      <c r="L395" s="3"/>
      <c r="M395" s="3"/>
      <c r="N395" s="3"/>
      <c r="O395" s="3"/>
      <c r="P395" s="3"/>
      <c r="Q395" s="3"/>
      <c r="R395" s="3"/>
      <c r="S395" s="3"/>
      <c r="T395" s="3"/>
      <c r="U395" s="3"/>
      <c r="V395" s="3"/>
      <c r="W395" s="3"/>
      <c r="X395" s="3"/>
      <c r="Y395" s="3"/>
      <c r="Z395" s="3"/>
      <c r="AA395" s="3"/>
      <c r="AB395" s="3"/>
      <c r="AC395" s="3"/>
    </row>
    <row r="396" spans="10:29">
      <c r="J396" s="3"/>
      <c r="K396" s="3"/>
      <c r="L396" s="3"/>
      <c r="M396" s="3"/>
      <c r="N396" s="3"/>
      <c r="O396" s="3"/>
      <c r="P396" s="3"/>
      <c r="Q396" s="3"/>
      <c r="R396" s="3"/>
      <c r="S396" s="3"/>
      <c r="T396" s="3"/>
      <c r="U396" s="3"/>
      <c r="V396" s="3"/>
      <c r="W396" s="3"/>
      <c r="X396" s="3"/>
      <c r="Y396" s="3"/>
      <c r="Z396" s="3"/>
      <c r="AA396" s="3"/>
      <c r="AB396" s="3"/>
      <c r="AC396" s="3"/>
    </row>
    <row r="397" spans="10:29">
      <c r="J397" s="3"/>
      <c r="K397" s="3"/>
      <c r="L397" s="3"/>
      <c r="M397" s="3"/>
      <c r="N397" s="3"/>
      <c r="O397" s="3"/>
      <c r="P397" s="3"/>
      <c r="Q397" s="3"/>
      <c r="R397" s="3"/>
      <c r="S397" s="3"/>
      <c r="T397" s="3"/>
      <c r="U397" s="3"/>
      <c r="V397" s="3"/>
      <c r="W397" s="3"/>
      <c r="X397" s="3"/>
      <c r="Y397" s="3"/>
      <c r="Z397" s="3"/>
      <c r="AA397" s="3"/>
      <c r="AB397" s="3"/>
      <c r="AC397" s="3"/>
    </row>
    <row r="398" spans="10:29">
      <c r="J398" s="3"/>
      <c r="K398" s="3"/>
      <c r="L398" s="3"/>
      <c r="M398" s="3"/>
      <c r="N398" s="3"/>
      <c r="O398" s="3"/>
      <c r="P398" s="3"/>
      <c r="Q398" s="3"/>
      <c r="R398" s="3"/>
      <c r="S398" s="3"/>
      <c r="T398" s="3"/>
      <c r="U398" s="3"/>
      <c r="V398" s="3"/>
      <c r="W398" s="3"/>
      <c r="X398" s="3"/>
      <c r="Y398" s="3"/>
      <c r="Z398" s="3"/>
      <c r="AA398" s="3"/>
      <c r="AB398" s="3"/>
      <c r="AC398" s="3"/>
    </row>
    <row r="399" spans="10:29">
      <c r="J399" s="3"/>
      <c r="K399" s="3"/>
      <c r="L399" s="3"/>
      <c r="M399" s="3"/>
      <c r="N399" s="3"/>
      <c r="O399" s="3"/>
      <c r="P399" s="3"/>
      <c r="Q399" s="3"/>
      <c r="R399" s="3"/>
      <c r="S399" s="3"/>
      <c r="T399" s="3"/>
      <c r="U399" s="3"/>
      <c r="V399" s="3"/>
      <c r="W399" s="3"/>
      <c r="X399" s="3"/>
      <c r="Y399" s="3"/>
      <c r="Z399" s="3"/>
      <c r="AA399" s="3"/>
      <c r="AB399" s="3"/>
      <c r="AC399" s="3"/>
    </row>
    <row r="400" spans="10:29">
      <c r="J400" s="3"/>
      <c r="K400" s="3"/>
      <c r="L400" s="3"/>
      <c r="M400" s="3"/>
      <c r="N400" s="3"/>
      <c r="O400" s="3"/>
      <c r="P400" s="3"/>
      <c r="Q400" s="3"/>
      <c r="R400" s="3"/>
      <c r="S400" s="3"/>
      <c r="T400" s="3"/>
      <c r="U400" s="3"/>
      <c r="V400" s="3"/>
      <c r="W400" s="3"/>
      <c r="X400" s="3"/>
      <c r="Y400" s="3"/>
      <c r="Z400" s="3"/>
      <c r="AA400" s="3"/>
      <c r="AB400" s="3"/>
      <c r="AC400" s="3"/>
    </row>
    <row r="401" spans="10:29">
      <c r="J401" s="3"/>
      <c r="K401" s="3"/>
      <c r="L401" s="3"/>
      <c r="M401" s="3"/>
      <c r="N401" s="3"/>
      <c r="O401" s="3"/>
      <c r="P401" s="3"/>
      <c r="Q401" s="3"/>
      <c r="R401" s="3"/>
      <c r="S401" s="3"/>
      <c r="T401" s="3"/>
      <c r="U401" s="3"/>
      <c r="V401" s="3"/>
      <c r="W401" s="3"/>
      <c r="X401" s="3"/>
      <c r="Y401" s="3"/>
      <c r="Z401" s="3"/>
      <c r="AA401" s="3"/>
      <c r="AB401" s="3"/>
      <c r="AC401" s="3"/>
    </row>
    <row r="402" spans="10:29">
      <c r="J402" s="3"/>
      <c r="K402" s="3"/>
      <c r="L402" s="3"/>
      <c r="M402" s="3"/>
      <c r="N402" s="3"/>
      <c r="O402" s="3"/>
      <c r="P402" s="3"/>
      <c r="Q402" s="3"/>
      <c r="R402" s="3"/>
      <c r="S402" s="3"/>
      <c r="T402" s="3"/>
      <c r="U402" s="3"/>
      <c r="V402" s="3"/>
      <c r="W402" s="3"/>
      <c r="X402" s="3"/>
      <c r="Y402" s="3"/>
      <c r="Z402" s="3"/>
      <c r="AA402" s="3"/>
      <c r="AB402" s="3"/>
      <c r="AC402" s="3"/>
    </row>
    <row r="403" spans="10:29">
      <c r="J403" s="3"/>
      <c r="K403" s="3"/>
      <c r="L403" s="3"/>
      <c r="M403" s="3"/>
      <c r="N403" s="3"/>
      <c r="O403" s="3"/>
      <c r="P403" s="3"/>
      <c r="Q403" s="3"/>
      <c r="R403" s="3"/>
      <c r="S403" s="3"/>
      <c r="T403" s="3"/>
      <c r="U403" s="3"/>
      <c r="V403" s="3"/>
      <c r="W403" s="3"/>
      <c r="X403" s="3"/>
      <c r="Y403" s="3"/>
      <c r="Z403" s="3"/>
      <c r="AA403" s="3"/>
      <c r="AB403" s="3"/>
      <c r="AC403" s="3"/>
    </row>
    <row r="404" spans="10:29">
      <c r="J404" s="3"/>
      <c r="K404" s="3"/>
      <c r="L404" s="3"/>
      <c r="M404" s="3"/>
      <c r="N404" s="3"/>
      <c r="O404" s="3"/>
      <c r="P404" s="3"/>
      <c r="Q404" s="3"/>
      <c r="R404" s="3"/>
      <c r="S404" s="3"/>
      <c r="T404" s="3"/>
      <c r="U404" s="3"/>
      <c r="V404" s="3"/>
      <c r="W404" s="3"/>
      <c r="X404" s="3"/>
      <c r="Y404" s="3"/>
      <c r="Z404" s="3"/>
      <c r="AA404" s="3"/>
      <c r="AB404" s="3"/>
      <c r="AC404" s="3"/>
    </row>
    <row r="405" spans="10:29">
      <c r="J405" s="3"/>
      <c r="K405" s="3"/>
      <c r="L405" s="3"/>
      <c r="M405" s="3"/>
      <c r="N405" s="3"/>
      <c r="O405" s="3"/>
      <c r="P405" s="3"/>
      <c r="Q405" s="3"/>
      <c r="R405" s="3"/>
      <c r="S405" s="3"/>
      <c r="T405" s="3"/>
      <c r="U405" s="3"/>
      <c r="V405" s="3"/>
      <c r="W405" s="3"/>
      <c r="X405" s="3"/>
      <c r="Y405" s="3"/>
      <c r="Z405" s="3"/>
      <c r="AA405" s="3"/>
      <c r="AB405" s="3"/>
      <c r="AC405" s="3"/>
    </row>
    <row r="406" spans="10:29">
      <c r="J406" s="3"/>
      <c r="K406" s="3"/>
      <c r="L406" s="3"/>
      <c r="M406" s="3"/>
      <c r="N406" s="3"/>
      <c r="O406" s="3"/>
      <c r="P406" s="3"/>
      <c r="Q406" s="3"/>
      <c r="R406" s="3"/>
      <c r="S406" s="3"/>
      <c r="T406" s="3"/>
      <c r="U406" s="3"/>
      <c r="V406" s="3"/>
      <c r="W406" s="3"/>
      <c r="X406" s="3"/>
      <c r="Y406" s="3"/>
      <c r="Z406" s="3"/>
      <c r="AA406" s="3"/>
      <c r="AB406" s="3"/>
      <c r="AC406" s="3"/>
    </row>
    <row r="407" spans="10:29">
      <c r="J407" s="3"/>
      <c r="K407" s="3"/>
      <c r="L407" s="3"/>
      <c r="M407" s="3"/>
      <c r="N407" s="3"/>
      <c r="O407" s="3"/>
      <c r="P407" s="3"/>
      <c r="Q407" s="3"/>
      <c r="R407" s="3"/>
      <c r="S407" s="3"/>
      <c r="T407" s="3"/>
      <c r="U407" s="3"/>
      <c r="V407" s="3"/>
      <c r="W407" s="3"/>
      <c r="X407" s="3"/>
      <c r="Y407" s="3"/>
      <c r="Z407" s="3"/>
      <c r="AA407" s="3"/>
      <c r="AB407" s="3"/>
      <c r="AC407" s="3"/>
    </row>
    <row r="408" spans="10:29">
      <c r="J408" s="3"/>
      <c r="K408" s="3"/>
      <c r="L408" s="3"/>
      <c r="M408" s="3"/>
      <c r="N408" s="3"/>
      <c r="O408" s="3"/>
      <c r="P408" s="3"/>
      <c r="Q408" s="3"/>
      <c r="R408" s="3"/>
      <c r="S408" s="3"/>
      <c r="T408" s="3"/>
      <c r="U408" s="3"/>
      <c r="V408" s="3"/>
      <c r="W408" s="3"/>
      <c r="X408" s="3"/>
      <c r="Y408" s="3"/>
      <c r="Z408" s="3"/>
      <c r="AA408" s="3"/>
      <c r="AB408" s="3"/>
      <c r="AC408" s="3"/>
    </row>
    <row r="409" spans="10:29">
      <c r="J409" s="3"/>
      <c r="K409" s="3"/>
      <c r="L409" s="3"/>
      <c r="M409" s="3"/>
      <c r="N409" s="3"/>
      <c r="O409" s="3"/>
      <c r="P409" s="3"/>
      <c r="Q409" s="3"/>
      <c r="R409" s="3"/>
      <c r="S409" s="3"/>
      <c r="T409" s="3"/>
      <c r="U409" s="3"/>
      <c r="V409" s="3"/>
      <c r="W409" s="3"/>
      <c r="X409" s="3"/>
      <c r="Y409" s="3"/>
      <c r="Z409" s="3"/>
      <c r="AA409" s="3"/>
      <c r="AB409" s="3"/>
      <c r="AC409" s="3"/>
    </row>
    <row r="410" spans="10:29">
      <c r="J410" s="3"/>
      <c r="K410" s="3"/>
      <c r="L410" s="3"/>
      <c r="M410" s="3"/>
      <c r="N410" s="3"/>
      <c r="O410" s="3"/>
      <c r="P410" s="3"/>
      <c r="Q410" s="3"/>
      <c r="R410" s="3"/>
      <c r="S410" s="3"/>
      <c r="T410" s="3"/>
      <c r="U410" s="3"/>
      <c r="V410" s="3"/>
      <c r="W410" s="3"/>
      <c r="X410" s="3"/>
      <c r="Y410" s="3"/>
      <c r="Z410" s="3"/>
      <c r="AA410" s="3"/>
      <c r="AB410" s="3"/>
      <c r="AC410" s="3"/>
    </row>
    <row r="411" spans="10:29">
      <c r="J411" s="3"/>
      <c r="K411" s="3"/>
      <c r="L411" s="3"/>
      <c r="M411" s="3"/>
      <c r="N411" s="3"/>
      <c r="O411" s="3"/>
      <c r="P411" s="3"/>
      <c r="Q411" s="3"/>
      <c r="R411" s="3"/>
      <c r="S411" s="3"/>
      <c r="T411" s="3"/>
      <c r="U411" s="3"/>
      <c r="V411" s="3"/>
      <c r="W411" s="3"/>
      <c r="X411" s="3"/>
      <c r="Y411" s="3"/>
      <c r="Z411" s="3"/>
      <c r="AA411" s="3"/>
      <c r="AB411" s="3"/>
      <c r="AC411" s="3"/>
    </row>
    <row r="412" spans="10:29">
      <c r="J412" s="3"/>
      <c r="K412" s="3"/>
      <c r="L412" s="3"/>
      <c r="M412" s="3"/>
      <c r="N412" s="3"/>
      <c r="O412" s="3"/>
      <c r="P412" s="3"/>
      <c r="Q412" s="3"/>
      <c r="R412" s="3"/>
      <c r="S412" s="3"/>
      <c r="T412" s="3"/>
      <c r="U412" s="3"/>
      <c r="V412" s="3"/>
      <c r="W412" s="3"/>
      <c r="X412" s="3"/>
      <c r="Y412" s="3"/>
      <c r="Z412" s="3"/>
      <c r="AA412" s="3"/>
      <c r="AB412" s="3"/>
      <c r="AC412" s="3"/>
    </row>
    <row r="413" spans="10:29">
      <c r="J413" s="3"/>
      <c r="K413" s="3"/>
      <c r="L413" s="3"/>
      <c r="M413" s="3"/>
      <c r="N413" s="3"/>
      <c r="O413" s="3"/>
      <c r="P413" s="3"/>
      <c r="Q413" s="3"/>
      <c r="R413" s="3"/>
      <c r="S413" s="3"/>
      <c r="T413" s="3"/>
      <c r="U413" s="3"/>
      <c r="V413" s="3"/>
      <c r="W413" s="3"/>
      <c r="X413" s="3"/>
      <c r="Y413" s="3"/>
      <c r="Z413" s="3"/>
      <c r="AA413" s="3"/>
      <c r="AB413" s="3"/>
      <c r="AC413" s="3"/>
    </row>
    <row r="414" spans="10:29">
      <c r="J414" s="3"/>
      <c r="K414" s="3"/>
      <c r="L414" s="3"/>
      <c r="M414" s="3"/>
      <c r="N414" s="3"/>
      <c r="O414" s="3"/>
      <c r="P414" s="3"/>
      <c r="Q414" s="3"/>
      <c r="R414" s="3"/>
      <c r="S414" s="3"/>
      <c r="T414" s="3"/>
      <c r="U414" s="3"/>
      <c r="V414" s="3"/>
      <c r="W414" s="3"/>
      <c r="X414" s="3"/>
      <c r="Y414" s="3"/>
      <c r="Z414" s="3"/>
      <c r="AA414" s="3"/>
      <c r="AB414" s="3"/>
      <c r="AC414" s="3"/>
    </row>
    <row r="415" spans="10:29">
      <c r="J415" s="3"/>
      <c r="K415" s="3"/>
      <c r="L415" s="3"/>
      <c r="M415" s="3"/>
      <c r="N415" s="3"/>
      <c r="O415" s="3"/>
      <c r="P415" s="3"/>
      <c r="Q415" s="3"/>
      <c r="R415" s="3"/>
      <c r="S415" s="3"/>
      <c r="T415" s="3"/>
      <c r="U415" s="3"/>
      <c r="V415" s="3"/>
      <c r="W415" s="3"/>
      <c r="X415" s="3"/>
      <c r="Y415" s="3"/>
      <c r="Z415" s="3"/>
      <c r="AA415" s="3"/>
      <c r="AB415" s="3"/>
      <c r="AC415" s="3"/>
    </row>
    <row r="416" spans="10:29">
      <c r="J416" s="3"/>
      <c r="K416" s="3"/>
      <c r="L416" s="3"/>
      <c r="M416" s="3"/>
      <c r="N416" s="3"/>
      <c r="O416" s="3"/>
      <c r="P416" s="3"/>
      <c r="Q416" s="3"/>
      <c r="R416" s="3"/>
      <c r="S416" s="3"/>
      <c r="T416" s="3"/>
      <c r="U416" s="3"/>
      <c r="V416" s="3"/>
      <c r="W416" s="3"/>
      <c r="X416" s="3"/>
      <c r="Y416" s="3"/>
      <c r="Z416" s="3"/>
      <c r="AA416" s="3"/>
      <c r="AB416" s="3"/>
      <c r="AC416" s="3"/>
    </row>
    <row r="417" spans="10:29">
      <c r="J417" s="3"/>
      <c r="K417" s="3"/>
      <c r="L417" s="3"/>
      <c r="M417" s="3"/>
      <c r="N417" s="3"/>
      <c r="O417" s="3"/>
      <c r="P417" s="3"/>
      <c r="Q417" s="3"/>
      <c r="R417" s="3"/>
      <c r="S417" s="3"/>
      <c r="T417" s="3"/>
      <c r="U417" s="3"/>
      <c r="V417" s="3"/>
      <c r="W417" s="3"/>
      <c r="X417" s="3"/>
      <c r="Y417" s="3"/>
      <c r="Z417" s="3"/>
      <c r="AA417" s="3"/>
      <c r="AB417" s="3"/>
      <c r="AC417" s="3"/>
    </row>
    <row r="418" spans="10:29">
      <c r="J418" s="3"/>
      <c r="K418" s="3"/>
      <c r="L418" s="3"/>
      <c r="M418" s="3"/>
      <c r="N418" s="3"/>
      <c r="O418" s="3"/>
      <c r="P418" s="3"/>
      <c r="Q418" s="3"/>
      <c r="R418" s="3"/>
      <c r="S418" s="3"/>
      <c r="T418" s="3"/>
      <c r="U418" s="3"/>
      <c r="V418" s="3"/>
      <c r="W418" s="3"/>
      <c r="X418" s="3"/>
      <c r="Y418" s="3"/>
      <c r="Z418" s="3"/>
      <c r="AA418" s="3"/>
      <c r="AB418" s="3"/>
      <c r="AC418" s="3"/>
    </row>
    <row r="419" spans="10:29">
      <c r="J419" s="3"/>
      <c r="K419" s="3"/>
      <c r="L419" s="3"/>
      <c r="M419" s="3"/>
      <c r="N419" s="3"/>
      <c r="O419" s="3"/>
      <c r="P419" s="3"/>
      <c r="Q419" s="3"/>
      <c r="R419" s="3"/>
      <c r="S419" s="3"/>
      <c r="T419" s="3"/>
      <c r="U419" s="3"/>
      <c r="V419" s="3"/>
      <c r="W419" s="3"/>
      <c r="X419" s="3"/>
      <c r="Y419" s="3"/>
      <c r="Z419" s="3"/>
      <c r="AA419" s="3"/>
      <c r="AB419" s="3"/>
      <c r="AC419" s="3"/>
    </row>
    <row r="420" spans="10:29">
      <c r="J420" s="3"/>
      <c r="K420" s="3"/>
      <c r="L420" s="3"/>
      <c r="M420" s="3"/>
      <c r="N420" s="3"/>
      <c r="O420" s="3"/>
      <c r="P420" s="3"/>
      <c r="Q420" s="3"/>
      <c r="R420" s="3"/>
      <c r="S420" s="3"/>
      <c r="T420" s="3"/>
      <c r="U420" s="3"/>
      <c r="V420" s="3"/>
      <c r="W420" s="3"/>
      <c r="X420" s="3"/>
      <c r="Y420" s="3"/>
      <c r="Z420" s="3"/>
      <c r="AA420" s="3"/>
      <c r="AB420" s="3"/>
      <c r="AC420" s="3"/>
    </row>
    <row r="421" spans="10:29">
      <c r="J421" s="3"/>
      <c r="K421" s="3"/>
      <c r="L421" s="3"/>
      <c r="M421" s="3"/>
      <c r="N421" s="3"/>
      <c r="O421" s="3"/>
      <c r="P421" s="3"/>
      <c r="Q421" s="3"/>
      <c r="R421" s="3"/>
      <c r="S421" s="3"/>
      <c r="T421" s="3"/>
      <c r="U421" s="3"/>
      <c r="V421" s="3"/>
      <c r="W421" s="3"/>
      <c r="X421" s="3"/>
      <c r="Y421" s="3"/>
      <c r="Z421" s="3"/>
      <c r="AA421" s="3"/>
      <c r="AB421" s="3"/>
      <c r="AC421" s="3"/>
    </row>
    <row r="422" spans="10:29">
      <c r="J422" s="3"/>
      <c r="K422" s="3"/>
      <c r="L422" s="3"/>
      <c r="M422" s="3"/>
      <c r="N422" s="3"/>
      <c r="O422" s="3"/>
      <c r="P422" s="3"/>
      <c r="Q422" s="3"/>
      <c r="R422" s="3"/>
      <c r="S422" s="3"/>
      <c r="T422" s="3"/>
      <c r="U422" s="3"/>
      <c r="V422" s="3"/>
      <c r="W422" s="3"/>
      <c r="X422" s="3"/>
      <c r="Y422" s="3"/>
      <c r="Z422" s="3"/>
      <c r="AA422" s="3"/>
      <c r="AB422" s="3"/>
      <c r="AC422" s="3"/>
    </row>
    <row r="423" spans="10:29">
      <c r="J423" s="3"/>
      <c r="K423" s="3"/>
      <c r="L423" s="3"/>
      <c r="M423" s="3"/>
      <c r="N423" s="3"/>
      <c r="O423" s="3"/>
      <c r="P423" s="3"/>
      <c r="Q423" s="3"/>
      <c r="R423" s="3"/>
      <c r="S423" s="3"/>
      <c r="T423" s="3"/>
      <c r="U423" s="3"/>
      <c r="V423" s="3"/>
      <c r="W423" s="3"/>
      <c r="X423" s="3"/>
      <c r="Y423" s="3"/>
      <c r="Z423" s="3"/>
      <c r="AA423" s="3"/>
      <c r="AB423" s="3"/>
      <c r="AC423" s="3"/>
    </row>
    <row r="424" spans="10:29">
      <c r="J424" s="3"/>
      <c r="K424" s="3"/>
      <c r="L424" s="3"/>
      <c r="M424" s="3"/>
      <c r="N424" s="3"/>
      <c r="O424" s="3"/>
      <c r="P424" s="3"/>
      <c r="Q424" s="3"/>
      <c r="R424" s="3"/>
      <c r="S424" s="3"/>
      <c r="T424" s="3"/>
      <c r="U424" s="3"/>
      <c r="V424" s="3"/>
      <c r="W424" s="3"/>
      <c r="X424" s="3"/>
      <c r="Y424" s="3"/>
      <c r="Z424" s="3"/>
      <c r="AA424" s="3"/>
      <c r="AB424" s="3"/>
      <c r="AC424" s="3"/>
    </row>
    <row r="425" spans="10:29">
      <c r="J425" s="3"/>
      <c r="K425" s="3"/>
      <c r="L425" s="3"/>
      <c r="M425" s="3"/>
      <c r="N425" s="3"/>
      <c r="O425" s="3"/>
      <c r="P425" s="3"/>
      <c r="Q425" s="3"/>
      <c r="R425" s="3"/>
      <c r="S425" s="3"/>
      <c r="T425" s="3"/>
      <c r="U425" s="3"/>
      <c r="V425" s="3"/>
      <c r="W425" s="3"/>
      <c r="X425" s="3"/>
      <c r="Y425" s="3"/>
      <c r="Z425" s="3"/>
      <c r="AA425" s="3"/>
      <c r="AB425" s="3"/>
      <c r="AC425" s="3"/>
    </row>
    <row r="426" spans="10:29">
      <c r="J426" s="3"/>
      <c r="K426" s="3"/>
      <c r="L426" s="3"/>
      <c r="M426" s="3"/>
      <c r="N426" s="3"/>
      <c r="O426" s="3"/>
      <c r="P426" s="3"/>
      <c r="Q426" s="3"/>
      <c r="R426" s="3"/>
      <c r="S426" s="3"/>
      <c r="T426" s="3"/>
      <c r="U426" s="3"/>
      <c r="V426" s="3"/>
      <c r="W426" s="3"/>
      <c r="X426" s="3"/>
      <c r="Y426" s="3"/>
      <c r="Z426" s="3"/>
      <c r="AA426" s="3"/>
      <c r="AB426" s="3"/>
      <c r="AC426" s="3"/>
    </row>
    <row r="427" spans="10:29">
      <c r="J427" s="3"/>
      <c r="K427" s="3"/>
      <c r="L427" s="3"/>
      <c r="M427" s="3"/>
      <c r="N427" s="3"/>
      <c r="O427" s="3"/>
      <c r="P427" s="3"/>
      <c r="Q427" s="3"/>
      <c r="R427" s="3"/>
      <c r="S427" s="3"/>
      <c r="T427" s="3"/>
      <c r="U427" s="3"/>
      <c r="V427" s="3"/>
      <c r="W427" s="3"/>
      <c r="X427" s="3"/>
      <c r="Y427" s="3"/>
      <c r="Z427" s="3"/>
      <c r="AA427" s="3"/>
      <c r="AB427" s="3"/>
      <c r="AC427" s="3"/>
    </row>
    <row r="428" spans="10:29">
      <c r="J428" s="3"/>
      <c r="K428" s="3"/>
      <c r="L428" s="3"/>
      <c r="M428" s="3"/>
      <c r="N428" s="3"/>
      <c r="O428" s="3"/>
      <c r="P428" s="3"/>
      <c r="Q428" s="3"/>
      <c r="R428" s="3"/>
      <c r="S428" s="3"/>
      <c r="T428" s="3"/>
      <c r="U428" s="3"/>
      <c r="V428" s="3"/>
      <c r="W428" s="3"/>
      <c r="X428" s="3"/>
      <c r="Y428" s="3"/>
      <c r="Z428" s="3"/>
      <c r="AA428" s="3"/>
      <c r="AB428" s="3"/>
      <c r="AC428" s="3"/>
    </row>
    <row r="429" spans="10:29">
      <c r="J429" s="3"/>
      <c r="K429" s="3"/>
      <c r="L429" s="3"/>
      <c r="M429" s="3"/>
      <c r="N429" s="3"/>
      <c r="O429" s="3"/>
      <c r="P429" s="3"/>
      <c r="Q429" s="3"/>
      <c r="R429" s="3"/>
      <c r="S429" s="3"/>
      <c r="T429" s="3"/>
      <c r="U429" s="3"/>
      <c r="V429" s="3"/>
      <c r="W429" s="3"/>
      <c r="X429" s="3"/>
      <c r="Y429" s="3"/>
      <c r="Z429" s="3"/>
      <c r="AA429" s="3"/>
      <c r="AB429" s="3"/>
      <c r="AC429" s="3"/>
    </row>
    <row r="430" spans="10:29">
      <c r="J430" s="3"/>
      <c r="K430" s="3"/>
      <c r="L430" s="3"/>
      <c r="M430" s="3"/>
      <c r="N430" s="3"/>
      <c r="O430" s="3"/>
      <c r="P430" s="3"/>
      <c r="Q430" s="3"/>
      <c r="R430" s="3"/>
      <c r="S430" s="3"/>
      <c r="T430" s="3"/>
      <c r="U430" s="3"/>
      <c r="V430" s="3"/>
      <c r="W430" s="3"/>
      <c r="X430" s="3"/>
      <c r="Y430" s="3"/>
      <c r="Z430" s="3"/>
      <c r="AA430" s="3"/>
      <c r="AB430" s="3"/>
      <c r="AC430" s="3"/>
    </row>
    <row r="431" spans="10:29">
      <c r="J431" s="3"/>
      <c r="K431" s="3"/>
      <c r="L431" s="3"/>
      <c r="M431" s="3"/>
      <c r="N431" s="3"/>
      <c r="O431" s="3"/>
      <c r="P431" s="3"/>
      <c r="Q431" s="3"/>
      <c r="R431" s="3"/>
      <c r="S431" s="3"/>
      <c r="T431" s="3"/>
      <c r="U431" s="3"/>
      <c r="V431" s="3"/>
      <c r="W431" s="3"/>
      <c r="X431" s="3"/>
      <c r="Y431" s="3"/>
      <c r="Z431" s="3"/>
      <c r="AA431" s="3"/>
      <c r="AB431" s="3"/>
      <c r="AC431" s="3"/>
    </row>
    <row r="432" spans="10:29">
      <c r="J432" s="3"/>
      <c r="K432" s="3"/>
      <c r="L432" s="3"/>
      <c r="M432" s="3"/>
      <c r="N432" s="3"/>
      <c r="O432" s="3"/>
      <c r="P432" s="3"/>
      <c r="Q432" s="3"/>
      <c r="R432" s="3"/>
      <c r="S432" s="3"/>
      <c r="T432" s="3"/>
      <c r="U432" s="3"/>
      <c r="V432" s="3"/>
      <c r="W432" s="3"/>
      <c r="X432" s="3"/>
      <c r="Y432" s="3"/>
      <c r="Z432" s="3"/>
      <c r="AA432" s="3"/>
      <c r="AB432" s="3"/>
      <c r="AC432" s="3"/>
    </row>
    <row r="433" spans="10:29">
      <c r="J433" s="3"/>
      <c r="K433" s="3"/>
      <c r="L433" s="3"/>
      <c r="M433" s="3"/>
      <c r="N433" s="3"/>
      <c r="O433" s="3"/>
      <c r="P433" s="3"/>
      <c r="Q433" s="3"/>
      <c r="R433" s="3"/>
      <c r="S433" s="3"/>
      <c r="T433" s="3"/>
      <c r="U433" s="3"/>
      <c r="V433" s="3"/>
      <c r="W433" s="3"/>
      <c r="X433" s="3"/>
      <c r="Y433" s="3"/>
      <c r="Z433" s="3"/>
      <c r="AA433" s="3"/>
      <c r="AB433" s="3"/>
      <c r="AC433" s="3"/>
    </row>
    <row r="434" spans="10:29">
      <c r="J434" s="3"/>
      <c r="K434" s="3"/>
      <c r="L434" s="3"/>
      <c r="M434" s="3"/>
      <c r="N434" s="3"/>
      <c r="O434" s="3"/>
      <c r="P434" s="3"/>
      <c r="Q434" s="3"/>
      <c r="R434" s="3"/>
      <c r="S434" s="3"/>
      <c r="T434" s="3"/>
      <c r="U434" s="3"/>
      <c r="V434" s="3"/>
      <c r="W434" s="3"/>
      <c r="X434" s="3"/>
      <c r="Y434" s="3"/>
      <c r="Z434" s="3"/>
      <c r="AA434" s="3"/>
      <c r="AB434" s="3"/>
      <c r="AC434" s="3"/>
    </row>
    <row r="435" spans="10:29">
      <c r="J435" s="3"/>
      <c r="K435" s="3"/>
      <c r="L435" s="3"/>
      <c r="M435" s="3"/>
      <c r="N435" s="3"/>
      <c r="O435" s="3"/>
      <c r="P435" s="3"/>
      <c r="Q435" s="3"/>
      <c r="R435" s="3"/>
      <c r="S435" s="3"/>
      <c r="T435" s="3"/>
      <c r="U435" s="3"/>
      <c r="V435" s="3"/>
      <c r="W435" s="3"/>
      <c r="X435" s="3"/>
      <c r="Y435" s="3"/>
      <c r="Z435" s="3"/>
      <c r="AA435" s="3"/>
      <c r="AB435" s="3"/>
      <c r="AC435" s="3"/>
    </row>
    <row r="436" spans="10:29">
      <c r="J436" s="3"/>
      <c r="K436" s="3"/>
      <c r="L436" s="3"/>
      <c r="M436" s="3"/>
      <c r="N436" s="3"/>
      <c r="O436" s="3"/>
      <c r="P436" s="3"/>
      <c r="Q436" s="3"/>
      <c r="R436" s="3"/>
      <c r="S436" s="3"/>
      <c r="T436" s="3"/>
      <c r="U436" s="3"/>
      <c r="V436" s="3"/>
      <c r="W436" s="3"/>
      <c r="X436" s="3"/>
      <c r="Y436" s="3"/>
      <c r="Z436" s="3"/>
      <c r="AA436" s="3"/>
      <c r="AB436" s="3"/>
      <c r="AC436" s="3"/>
    </row>
    <row r="437" spans="10:29">
      <c r="J437" s="3"/>
      <c r="K437" s="3"/>
      <c r="L437" s="3"/>
      <c r="M437" s="3"/>
      <c r="N437" s="3"/>
      <c r="O437" s="3"/>
      <c r="P437" s="3"/>
      <c r="Q437" s="3"/>
      <c r="R437" s="3"/>
      <c r="S437" s="3"/>
      <c r="T437" s="3"/>
      <c r="U437" s="3"/>
      <c r="V437" s="3"/>
      <c r="W437" s="3"/>
      <c r="X437" s="3"/>
      <c r="Y437" s="3"/>
      <c r="Z437" s="3"/>
      <c r="AA437" s="3"/>
      <c r="AB437" s="3"/>
      <c r="AC437" s="3"/>
    </row>
    <row r="438" spans="10:29">
      <c r="J438" s="3"/>
      <c r="K438" s="3"/>
      <c r="L438" s="3"/>
      <c r="M438" s="3"/>
      <c r="N438" s="3"/>
      <c r="O438" s="3"/>
      <c r="P438" s="3"/>
      <c r="Q438" s="3"/>
      <c r="R438" s="3"/>
      <c r="S438" s="3"/>
      <c r="T438" s="3"/>
      <c r="U438" s="3"/>
      <c r="V438" s="3"/>
      <c r="W438" s="3"/>
      <c r="X438" s="3"/>
      <c r="Y438" s="3"/>
      <c r="Z438" s="3"/>
      <c r="AA438" s="3"/>
      <c r="AB438" s="3"/>
      <c r="AC438" s="3"/>
    </row>
    <row r="439" spans="10:29">
      <c r="J439" s="3"/>
      <c r="K439" s="3"/>
      <c r="L439" s="3"/>
      <c r="M439" s="3"/>
      <c r="N439" s="3"/>
      <c r="O439" s="3"/>
      <c r="P439" s="3"/>
      <c r="Q439" s="3"/>
      <c r="R439" s="3"/>
      <c r="S439" s="3"/>
      <c r="T439" s="3"/>
      <c r="U439" s="3"/>
      <c r="V439" s="3"/>
      <c r="W439" s="3"/>
      <c r="X439" s="3"/>
      <c r="Y439" s="3"/>
      <c r="Z439" s="3"/>
      <c r="AA439" s="3"/>
      <c r="AB439" s="3"/>
      <c r="AC439" s="3"/>
    </row>
    <row r="440" spans="10:29">
      <c r="J440" s="3"/>
      <c r="K440" s="3"/>
      <c r="L440" s="3"/>
      <c r="M440" s="3"/>
      <c r="N440" s="3"/>
      <c r="O440" s="3"/>
      <c r="P440" s="3"/>
      <c r="Q440" s="3"/>
      <c r="R440" s="3"/>
      <c r="S440" s="3"/>
      <c r="T440" s="3"/>
      <c r="U440" s="3"/>
      <c r="V440" s="3"/>
      <c r="W440" s="3"/>
      <c r="X440" s="3"/>
      <c r="Y440" s="3"/>
      <c r="Z440" s="3"/>
      <c r="AA440" s="3"/>
      <c r="AB440" s="3"/>
      <c r="AC440" s="3"/>
    </row>
    <row r="441" spans="10:29">
      <c r="J441" s="3"/>
      <c r="K441" s="3"/>
      <c r="L441" s="3"/>
      <c r="M441" s="3"/>
      <c r="N441" s="3"/>
      <c r="O441" s="3"/>
      <c r="P441" s="3"/>
      <c r="Q441" s="3"/>
      <c r="R441" s="3"/>
      <c r="S441" s="3"/>
      <c r="T441" s="3"/>
      <c r="U441" s="3"/>
      <c r="V441" s="3"/>
      <c r="W441" s="3"/>
      <c r="X441" s="3"/>
      <c r="Y441" s="3"/>
      <c r="Z441" s="3"/>
      <c r="AA441" s="3"/>
      <c r="AB441" s="3"/>
      <c r="AC441" s="3"/>
    </row>
    <row r="442" spans="10:29">
      <c r="J442" s="3"/>
      <c r="K442" s="3"/>
      <c r="L442" s="3"/>
      <c r="M442" s="3"/>
      <c r="N442" s="3"/>
      <c r="O442" s="3"/>
      <c r="P442" s="3"/>
      <c r="Q442" s="3"/>
      <c r="R442" s="3"/>
      <c r="S442" s="3"/>
      <c r="T442" s="3"/>
      <c r="U442" s="3"/>
      <c r="V442" s="3"/>
      <c r="W442" s="3"/>
      <c r="X442" s="3"/>
      <c r="Y442" s="3"/>
      <c r="Z442" s="3"/>
      <c r="AA442" s="3"/>
      <c r="AB442" s="3"/>
      <c r="AC442" s="3"/>
    </row>
    <row r="443" spans="10:29">
      <c r="J443" s="3"/>
      <c r="K443" s="3"/>
      <c r="L443" s="3"/>
      <c r="M443" s="3"/>
      <c r="N443" s="3"/>
      <c r="O443" s="3"/>
      <c r="P443" s="3"/>
      <c r="Q443" s="3"/>
      <c r="R443" s="3"/>
      <c r="S443" s="3"/>
      <c r="T443" s="3"/>
      <c r="U443" s="3"/>
      <c r="V443" s="3"/>
      <c r="W443" s="3"/>
      <c r="X443" s="3"/>
      <c r="Y443" s="3"/>
      <c r="Z443" s="3"/>
      <c r="AA443" s="3"/>
      <c r="AB443" s="3"/>
      <c r="AC443" s="3"/>
    </row>
    <row r="444" spans="10:29">
      <c r="J444" s="3"/>
      <c r="K444" s="3"/>
      <c r="L444" s="3"/>
      <c r="M444" s="3"/>
      <c r="N444" s="3"/>
      <c r="O444" s="3"/>
      <c r="P444" s="3"/>
      <c r="Q444" s="3"/>
      <c r="R444" s="3"/>
      <c r="S444" s="3"/>
      <c r="T444" s="3"/>
      <c r="U444" s="3"/>
      <c r="V444" s="3"/>
      <c r="W444" s="3"/>
      <c r="X444" s="3"/>
      <c r="Y444" s="3"/>
      <c r="Z444" s="3"/>
      <c r="AA444" s="3"/>
      <c r="AB444" s="3"/>
      <c r="AC444" s="3"/>
    </row>
    <row r="445" spans="10:29">
      <c r="J445" s="3"/>
      <c r="K445" s="3"/>
      <c r="L445" s="3"/>
      <c r="M445" s="3"/>
      <c r="N445" s="3"/>
      <c r="O445" s="3"/>
      <c r="P445" s="3"/>
      <c r="Q445" s="3"/>
      <c r="R445" s="3"/>
      <c r="S445" s="3"/>
      <c r="T445" s="3"/>
      <c r="U445" s="3"/>
      <c r="V445" s="3"/>
      <c r="W445" s="3"/>
      <c r="X445" s="3"/>
      <c r="Y445" s="3"/>
      <c r="Z445" s="3"/>
      <c r="AA445" s="3"/>
      <c r="AB445" s="3"/>
      <c r="AC445" s="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059C3-89A8-4F89-BBEA-44DA666C48EB}">
  <sheetPr>
    <tabColor rgb="FFA3C5BF"/>
  </sheetPr>
  <dimension ref="B3:AB37"/>
  <sheetViews>
    <sheetView showGridLines="0" workbookViewId="0">
      <selection activeCell="D8" sqref="D8"/>
    </sheetView>
  </sheetViews>
  <sheetFormatPr defaultColWidth="8.7109375" defaultRowHeight="15"/>
  <cols>
    <col min="1" max="1" width="5.85546875" style="40" customWidth="1"/>
    <col min="2" max="2" width="31.7109375" style="40" customWidth="1"/>
    <col min="3" max="3" width="21.5703125" style="41" customWidth="1"/>
    <col min="4" max="4" width="21.5703125" style="40" customWidth="1"/>
    <col min="5" max="16384" width="8.7109375" style="40"/>
  </cols>
  <sheetData>
    <row r="3" spans="2:28" ht="15" customHeight="1">
      <c r="B3" s="30" t="s">
        <v>260</v>
      </c>
      <c r="C3" s="27"/>
      <c r="D3" s="24"/>
      <c r="E3" s="24"/>
      <c r="F3" s="24"/>
      <c r="G3" s="24"/>
      <c r="H3" s="24"/>
      <c r="I3" s="24"/>
      <c r="J3" s="24"/>
      <c r="K3" s="24"/>
      <c r="L3" s="24"/>
    </row>
    <row r="4" spans="2:28" ht="45">
      <c r="B4" s="52"/>
      <c r="C4" s="51" t="s">
        <v>119</v>
      </c>
      <c r="D4" s="60" t="s">
        <v>9</v>
      </c>
      <c r="E4" s="60" t="s">
        <v>12</v>
      </c>
      <c r="F4" s="61" t="s">
        <v>20</v>
      </c>
      <c r="G4" s="61" t="s">
        <v>25</v>
      </c>
      <c r="H4" s="61" t="s">
        <v>29</v>
      </c>
      <c r="I4" s="61" t="s">
        <v>33</v>
      </c>
      <c r="J4" s="61" t="s">
        <v>36</v>
      </c>
      <c r="K4" s="61" t="s">
        <v>38</v>
      </c>
      <c r="L4" s="61" t="s">
        <v>41</v>
      </c>
    </row>
    <row r="5" spans="2:28">
      <c r="B5" s="25" t="s">
        <v>8</v>
      </c>
      <c r="C5" s="27" t="s">
        <v>123</v>
      </c>
      <c r="D5" s="24">
        <v>91.16</v>
      </c>
      <c r="E5" s="32">
        <v>94.311786567164177</v>
      </c>
      <c r="F5" s="32">
        <v>94.311786567164177</v>
      </c>
      <c r="G5" s="32">
        <v>16.227027027027027</v>
      </c>
      <c r="H5" s="32">
        <v>76.129158859470465</v>
      </c>
      <c r="I5" s="32">
        <v>83.834102851323834</v>
      </c>
      <c r="J5" s="32">
        <v>15.591833999999999</v>
      </c>
      <c r="K5" s="32">
        <v>23.15808899999999</v>
      </c>
      <c r="L5" s="32">
        <f>'CCC Summary'!$C$56</f>
        <v>9.4311786567164155</v>
      </c>
    </row>
    <row r="6" spans="2:28">
      <c r="B6" s="45" t="s">
        <v>11</v>
      </c>
      <c r="C6" s="46" t="s">
        <v>123</v>
      </c>
      <c r="D6" s="47">
        <v>77.223905835302944</v>
      </c>
      <c r="E6" s="47">
        <v>77.511786567164194</v>
      </c>
      <c r="F6" s="47"/>
      <c r="G6" s="47"/>
      <c r="H6" s="47"/>
      <c r="I6" s="47"/>
      <c r="J6" s="47"/>
      <c r="K6" s="47"/>
      <c r="L6" s="47"/>
    </row>
    <row r="7" spans="2:28">
      <c r="B7" s="39" t="s">
        <v>261</v>
      </c>
      <c r="C7" s="42" t="s">
        <v>262</v>
      </c>
      <c r="D7" s="43"/>
      <c r="E7" s="43"/>
      <c r="F7" s="44">
        <v>4.07E-2</v>
      </c>
      <c r="G7" s="44">
        <v>3.78E-2</v>
      </c>
      <c r="H7" s="44">
        <v>4.9099999999999998E-2</v>
      </c>
      <c r="I7" s="44">
        <v>4.9099999999999998E-2</v>
      </c>
      <c r="J7" s="44">
        <v>4.9099999999999998E-2</v>
      </c>
      <c r="K7" s="44">
        <v>4.9099999999999998E-2</v>
      </c>
      <c r="L7" s="44" t="s">
        <v>263</v>
      </c>
      <c r="M7" s="23"/>
    </row>
    <row r="8" spans="2:28">
      <c r="B8" s="35" t="s">
        <v>264</v>
      </c>
      <c r="C8" s="27"/>
      <c r="D8" s="28" t="s">
        <v>265</v>
      </c>
      <c r="E8" s="28" t="s">
        <v>266</v>
      </c>
      <c r="F8" s="28" t="s">
        <v>266</v>
      </c>
      <c r="G8" s="28" t="s">
        <v>267</v>
      </c>
      <c r="H8" s="28" t="s">
        <v>268</v>
      </c>
      <c r="I8" s="28" t="s">
        <v>268</v>
      </c>
      <c r="J8" s="28" t="s">
        <v>267</v>
      </c>
      <c r="K8" s="28" t="s">
        <v>267</v>
      </c>
      <c r="L8" s="27" t="s">
        <v>14</v>
      </c>
      <c r="M8" s="23"/>
    </row>
    <row r="9" spans="2:28">
      <c r="B9" s="27" t="s">
        <v>269</v>
      </c>
      <c r="C9" s="27"/>
      <c r="D9" s="24"/>
      <c r="E9" s="24"/>
      <c r="F9" s="24"/>
      <c r="G9" s="24"/>
      <c r="H9" s="26"/>
      <c r="I9" s="32"/>
      <c r="J9" s="24"/>
      <c r="K9" s="24"/>
      <c r="L9" s="24"/>
    </row>
    <row r="10" spans="2:28">
      <c r="C10" s="24"/>
      <c r="D10" s="24"/>
    </row>
    <row r="11" spans="2:28">
      <c r="B11" s="24"/>
      <c r="C11" s="27"/>
      <c r="D11" s="25"/>
      <c r="E11" s="25"/>
      <c r="F11" s="25"/>
      <c r="G11" s="25"/>
      <c r="H11" s="25"/>
      <c r="I11" s="25"/>
      <c r="J11" s="25"/>
      <c r="K11" s="24"/>
      <c r="L11" s="24"/>
    </row>
    <row r="12" spans="2:28">
      <c r="B12" s="30" t="s">
        <v>270</v>
      </c>
      <c r="C12" s="27"/>
      <c r="D12" s="25"/>
      <c r="E12" s="25"/>
      <c r="F12" s="25"/>
      <c r="G12" s="25"/>
      <c r="H12" s="25"/>
      <c r="I12" s="25"/>
      <c r="J12" s="25"/>
      <c r="K12" s="24"/>
      <c r="L12" s="24"/>
    </row>
    <row r="13" spans="2:28">
      <c r="B13" s="50" t="s">
        <v>271</v>
      </c>
      <c r="C13" s="51" t="s">
        <v>264</v>
      </c>
      <c r="D13" s="51" t="s">
        <v>272</v>
      </c>
      <c r="E13" s="52">
        <v>2027</v>
      </c>
      <c r="F13" s="52">
        <v>2028</v>
      </c>
      <c r="G13" s="52">
        <v>2029</v>
      </c>
      <c r="H13" s="52">
        <v>2030</v>
      </c>
      <c r="I13" s="52">
        <v>2031</v>
      </c>
      <c r="J13" s="52">
        <v>2032</v>
      </c>
      <c r="K13" s="52">
        <v>2033</v>
      </c>
      <c r="L13" s="52">
        <v>2034</v>
      </c>
      <c r="M13" s="52">
        <v>2035</v>
      </c>
      <c r="N13" s="52">
        <v>2036</v>
      </c>
      <c r="O13" s="52">
        <v>2037</v>
      </c>
      <c r="P13" s="52">
        <v>2038</v>
      </c>
      <c r="Q13" s="52">
        <v>2039</v>
      </c>
      <c r="R13" s="52">
        <v>2040</v>
      </c>
      <c r="S13" s="52">
        <v>2041</v>
      </c>
      <c r="T13" s="52">
        <v>2042</v>
      </c>
      <c r="U13" s="52">
        <v>2043</v>
      </c>
      <c r="V13" s="52">
        <v>2044</v>
      </c>
      <c r="W13" s="52">
        <v>2045</v>
      </c>
      <c r="X13" s="52">
        <v>2046</v>
      </c>
      <c r="Y13" s="52">
        <v>2047</v>
      </c>
      <c r="Z13" s="52">
        <v>2048</v>
      </c>
      <c r="AA13" s="52">
        <v>2049</v>
      </c>
      <c r="AB13" s="52">
        <v>2050</v>
      </c>
    </row>
    <row r="14" spans="2:28">
      <c r="B14" s="24" t="s">
        <v>16</v>
      </c>
      <c r="C14" s="48" t="s">
        <v>273</v>
      </c>
      <c r="D14" s="27" t="s">
        <v>274</v>
      </c>
      <c r="E14" s="32">
        <v>0.03</v>
      </c>
      <c r="F14" s="32">
        <v>6.5000000000000002E-2</v>
      </c>
      <c r="G14" s="32">
        <v>8.5000000000000006E-2</v>
      </c>
      <c r="H14" s="32">
        <v>0.12</v>
      </c>
      <c r="I14" s="32">
        <v>0.17</v>
      </c>
      <c r="J14" s="32">
        <v>0.22500000000000001</v>
      </c>
      <c r="K14" s="32">
        <v>0.28000000000000003</v>
      </c>
      <c r="L14" s="32">
        <v>0.33500000000000002</v>
      </c>
      <c r="M14" s="32">
        <v>0.38500000000000001</v>
      </c>
      <c r="N14" s="32">
        <f>($R$14-$M$14)/5+M14</f>
        <v>0.443</v>
      </c>
      <c r="O14" s="32">
        <f>($R$14-$M$14)/5+N14</f>
        <v>0.501</v>
      </c>
      <c r="P14" s="32">
        <f>($R$14-$M$14)/5+O14</f>
        <v>0.55900000000000005</v>
      </c>
      <c r="Q14" s="32">
        <f>($R$14-$M$14)/5+P14</f>
        <v>0.6170000000000001</v>
      </c>
      <c r="R14" s="32">
        <v>0.67500000000000004</v>
      </c>
      <c r="S14" s="32">
        <f>($W$14-$R$14)/5+R14</f>
        <v>0.70600000000000007</v>
      </c>
      <c r="T14" s="32">
        <f>($W$14-$R$14)/5+S14</f>
        <v>0.7370000000000001</v>
      </c>
      <c r="U14" s="32">
        <f>($W$14-$R$14)/5+T14</f>
        <v>0.76800000000000013</v>
      </c>
      <c r="V14" s="32">
        <f>($W$14-$R$14)/5+U14</f>
        <v>0.79900000000000015</v>
      </c>
      <c r="W14" s="32">
        <v>0.83</v>
      </c>
      <c r="X14" s="32">
        <f>($AB$14-$W$14)/5+W14</f>
        <v>0.86</v>
      </c>
      <c r="Y14" s="32">
        <f>($AB$14-$W$14)/5+X14</f>
        <v>0.89</v>
      </c>
      <c r="Z14" s="32">
        <f>($AB$14-$W$14)/5+Y14</f>
        <v>0.92</v>
      </c>
      <c r="AA14" s="32">
        <f>($AB$14-$W$14)/5+Z14</f>
        <v>0.95000000000000007</v>
      </c>
      <c r="AB14" s="32">
        <v>0.98</v>
      </c>
    </row>
    <row r="15" spans="2:28">
      <c r="B15" s="54" t="s">
        <v>19</v>
      </c>
      <c r="C15" s="53" t="s">
        <v>273</v>
      </c>
      <c r="D15" s="46" t="s">
        <v>274</v>
      </c>
      <c r="E15" s="47">
        <v>7.4999999999999997E-2</v>
      </c>
      <c r="F15" s="47">
        <v>0.13</v>
      </c>
      <c r="G15" s="47">
        <v>0.19500000000000001</v>
      </c>
      <c r="H15" s="47">
        <v>0.245</v>
      </c>
      <c r="I15" s="47">
        <v>0.3</v>
      </c>
      <c r="J15" s="47">
        <v>0.35499999999999998</v>
      </c>
      <c r="K15" s="47">
        <v>0.41</v>
      </c>
      <c r="L15" s="47">
        <v>0.46</v>
      </c>
      <c r="M15" s="47">
        <v>0.51500000000000001</v>
      </c>
      <c r="N15" s="47">
        <f>($R$15-$M$15)/5+M15</f>
        <v>0.56900000000000006</v>
      </c>
      <c r="O15" s="47">
        <f>($R$15-$M$15)/5+N15</f>
        <v>0.62300000000000011</v>
      </c>
      <c r="P15" s="47">
        <f>($R$15-$M$15)/5+O15</f>
        <v>0.67700000000000016</v>
      </c>
      <c r="Q15" s="47">
        <f>($R$15-$M$15)/5+P15</f>
        <v>0.73100000000000021</v>
      </c>
      <c r="R15" s="47">
        <v>0.78500000000000003</v>
      </c>
      <c r="S15" s="47">
        <f>($W$15-$R$15)/5+R15</f>
        <v>0.80600000000000005</v>
      </c>
      <c r="T15" s="47">
        <f>($W$15-$R$15)/5+S15</f>
        <v>0.82700000000000007</v>
      </c>
      <c r="U15" s="47">
        <f>($W$15-$R$15)/5+T15</f>
        <v>0.84800000000000009</v>
      </c>
      <c r="V15" s="47">
        <f>($W$15-$R$15)/5+U15</f>
        <v>0.86900000000000011</v>
      </c>
      <c r="W15" s="47">
        <v>0.89</v>
      </c>
      <c r="X15" s="47">
        <f>($AB$15-$W$15)/5+W15</f>
        <v>0.90800000000000003</v>
      </c>
      <c r="Y15" s="47">
        <f>($AB$15-$W$15)/5+X15</f>
        <v>0.92600000000000005</v>
      </c>
      <c r="Z15" s="47">
        <f>($AB$15-$W$15)/5+Y15</f>
        <v>0.94400000000000006</v>
      </c>
      <c r="AA15" s="47">
        <f>($AB$15-$W$15)/5+Z15</f>
        <v>0.96200000000000008</v>
      </c>
      <c r="AB15" s="47">
        <v>0.98</v>
      </c>
    </row>
    <row r="16" spans="2:28">
      <c r="B16" s="40" t="s">
        <v>24</v>
      </c>
      <c r="C16" s="48" t="s">
        <v>275</v>
      </c>
      <c r="D16" s="55" t="s">
        <v>274</v>
      </c>
      <c r="E16" s="49">
        <v>5.0000000000000044E-2</v>
      </c>
      <c r="F16" s="49">
        <v>9.9999999999999978E-2</v>
      </c>
      <c r="G16" s="49">
        <v>9.9999999999999978E-2</v>
      </c>
      <c r="H16" s="49">
        <v>0.19999999999999996</v>
      </c>
      <c r="I16" s="49">
        <v>0.19999999999999996</v>
      </c>
      <c r="J16" s="49">
        <v>0.19999999999999996</v>
      </c>
      <c r="K16" s="49">
        <v>0.19999999999999996</v>
      </c>
      <c r="L16" s="49">
        <v>0.19999999999999996</v>
      </c>
      <c r="M16" s="49">
        <v>0.4</v>
      </c>
      <c r="N16" s="49">
        <v>0.4</v>
      </c>
      <c r="O16" s="49">
        <v>0.4</v>
      </c>
      <c r="P16" s="49">
        <v>0.4</v>
      </c>
      <c r="Q16" s="49">
        <v>0.4</v>
      </c>
      <c r="R16" s="49">
        <v>0.7</v>
      </c>
      <c r="S16" s="49">
        <v>0.7</v>
      </c>
      <c r="T16" s="49">
        <v>0.7</v>
      </c>
      <c r="U16" s="49">
        <v>0.7</v>
      </c>
      <c r="V16" s="49">
        <v>0.7</v>
      </c>
      <c r="W16" s="49">
        <v>0.85</v>
      </c>
      <c r="X16" s="49">
        <v>0.85</v>
      </c>
      <c r="Y16" s="49">
        <v>0.85</v>
      </c>
      <c r="Z16" s="49">
        <v>0.85</v>
      </c>
      <c r="AA16" s="49">
        <v>0.85</v>
      </c>
      <c r="AB16" s="49">
        <v>0.98</v>
      </c>
    </row>
    <row r="17" spans="2:28">
      <c r="B17" s="54" t="s">
        <v>28</v>
      </c>
      <c r="C17" s="53" t="s">
        <v>275</v>
      </c>
      <c r="D17" s="46" t="s">
        <v>274</v>
      </c>
      <c r="E17" s="47">
        <v>9.9999999999999978E-2</v>
      </c>
      <c r="F17" s="47">
        <v>9.9999999999999978E-2</v>
      </c>
      <c r="G17" s="47">
        <v>0.19999999999999996</v>
      </c>
      <c r="H17" s="47">
        <v>0.30000000000000004</v>
      </c>
      <c r="I17" s="47">
        <v>0.30000000000000004</v>
      </c>
      <c r="J17" s="47">
        <v>0.30000000000000004</v>
      </c>
      <c r="K17" s="47">
        <v>0.30000000000000004</v>
      </c>
      <c r="L17" s="47">
        <v>0.30000000000000004</v>
      </c>
      <c r="M17" s="47">
        <v>0.5</v>
      </c>
      <c r="N17" s="47">
        <v>0.5</v>
      </c>
      <c r="O17" s="47">
        <v>0.5</v>
      </c>
      <c r="P17" s="47">
        <v>0.5</v>
      </c>
      <c r="Q17" s="47">
        <v>0.5</v>
      </c>
      <c r="R17" s="47">
        <v>0.8</v>
      </c>
      <c r="S17" s="47">
        <v>0.8</v>
      </c>
      <c r="T17" s="47">
        <v>0.8</v>
      </c>
      <c r="U17" s="47">
        <v>0.8</v>
      </c>
      <c r="V17" s="47">
        <v>0.8</v>
      </c>
      <c r="W17" s="47">
        <v>0.9</v>
      </c>
      <c r="X17" s="47">
        <v>0.9</v>
      </c>
      <c r="Y17" s="47">
        <v>0.9</v>
      </c>
      <c r="Z17" s="47">
        <v>0.9</v>
      </c>
      <c r="AA17" s="47">
        <v>0.9</v>
      </c>
      <c r="AB17" s="47">
        <v>0.98</v>
      </c>
    </row>
    <row r="18" spans="2:28">
      <c r="B18" s="24" t="s">
        <v>32</v>
      </c>
      <c r="C18" s="48" t="s">
        <v>276</v>
      </c>
      <c r="D18" s="27" t="s">
        <v>277</v>
      </c>
      <c r="E18" s="32">
        <v>18.75</v>
      </c>
      <c r="F18" s="32">
        <v>18.75</v>
      </c>
      <c r="G18" s="32">
        <v>18.75</v>
      </c>
      <c r="H18" s="32">
        <v>18.75</v>
      </c>
      <c r="I18" s="32">
        <v>18.75</v>
      </c>
      <c r="J18" s="32">
        <v>18.75</v>
      </c>
      <c r="K18" s="32">
        <v>18.75</v>
      </c>
      <c r="L18" s="32">
        <v>18.75</v>
      </c>
      <c r="M18" s="32">
        <v>18.75</v>
      </c>
      <c r="N18" s="32">
        <v>18.75</v>
      </c>
      <c r="O18" s="32">
        <v>18.75</v>
      </c>
      <c r="P18" s="32">
        <v>18.75</v>
      </c>
      <c r="Q18" s="32">
        <v>18.75</v>
      </c>
      <c r="R18" s="32">
        <v>18.75</v>
      </c>
      <c r="S18" s="32">
        <v>18.75</v>
      </c>
      <c r="T18" s="32">
        <v>18.75</v>
      </c>
      <c r="U18" s="32">
        <v>18.75</v>
      </c>
      <c r="V18" s="32">
        <v>18.75</v>
      </c>
      <c r="W18" s="32">
        <v>18.75</v>
      </c>
      <c r="X18" s="32">
        <v>18.75</v>
      </c>
      <c r="Y18" s="32">
        <v>18.75</v>
      </c>
      <c r="Z18" s="32">
        <v>18.75</v>
      </c>
      <c r="AA18" s="32">
        <v>18.75</v>
      </c>
      <c r="AB18" s="32">
        <v>18.75</v>
      </c>
    </row>
    <row r="19" spans="2:28">
      <c r="B19" s="54" t="s">
        <v>35</v>
      </c>
      <c r="C19" s="53" t="s">
        <v>278</v>
      </c>
      <c r="D19" s="46" t="s">
        <v>277</v>
      </c>
      <c r="E19" s="47">
        <v>100</v>
      </c>
      <c r="F19" s="47">
        <v>100</v>
      </c>
      <c r="G19" s="47">
        <v>100</v>
      </c>
      <c r="H19" s="47">
        <v>100</v>
      </c>
      <c r="I19" s="47">
        <v>100</v>
      </c>
      <c r="J19" s="47">
        <v>100</v>
      </c>
      <c r="K19" s="47">
        <v>100</v>
      </c>
      <c r="L19" s="47">
        <v>100</v>
      </c>
      <c r="M19" s="47">
        <v>100</v>
      </c>
      <c r="N19" s="47">
        <v>100</v>
      </c>
      <c r="O19" s="47">
        <v>100</v>
      </c>
      <c r="P19" s="47">
        <v>100</v>
      </c>
      <c r="Q19" s="47">
        <v>100</v>
      </c>
      <c r="R19" s="47">
        <v>100</v>
      </c>
      <c r="S19" s="47">
        <v>100</v>
      </c>
      <c r="T19" s="47">
        <v>100</v>
      </c>
      <c r="U19" s="47">
        <v>100</v>
      </c>
      <c r="V19" s="47">
        <v>100</v>
      </c>
      <c r="W19" s="47">
        <v>100</v>
      </c>
      <c r="X19" s="47">
        <v>100</v>
      </c>
      <c r="Y19" s="47">
        <v>100</v>
      </c>
      <c r="Z19" s="47">
        <v>100</v>
      </c>
      <c r="AA19" s="47">
        <v>100</v>
      </c>
      <c r="AB19" s="47">
        <v>100</v>
      </c>
    </row>
    <row r="20" spans="2:28">
      <c r="B20" s="40" t="s">
        <v>37</v>
      </c>
      <c r="C20" s="48" t="s">
        <v>278</v>
      </c>
      <c r="D20" s="55" t="s">
        <v>277</v>
      </c>
      <c r="E20" s="49">
        <v>150</v>
      </c>
      <c r="F20" s="49">
        <v>150</v>
      </c>
      <c r="G20" s="49">
        <v>150</v>
      </c>
      <c r="H20" s="49">
        <v>150</v>
      </c>
      <c r="I20" s="49">
        <v>150</v>
      </c>
      <c r="J20" s="49">
        <v>150</v>
      </c>
      <c r="K20" s="49">
        <v>150</v>
      </c>
      <c r="L20" s="49">
        <v>150</v>
      </c>
      <c r="M20" s="49">
        <v>150</v>
      </c>
      <c r="N20" s="49">
        <v>150</v>
      </c>
      <c r="O20" s="49">
        <v>150</v>
      </c>
      <c r="P20" s="49">
        <v>150</v>
      </c>
      <c r="Q20" s="49">
        <v>150</v>
      </c>
      <c r="R20" s="49">
        <v>150</v>
      </c>
      <c r="S20" s="49">
        <v>150</v>
      </c>
      <c r="T20" s="49">
        <v>150</v>
      </c>
      <c r="U20" s="49">
        <v>150</v>
      </c>
      <c r="V20" s="49">
        <v>150</v>
      </c>
      <c r="W20" s="49">
        <v>150</v>
      </c>
      <c r="X20" s="49">
        <v>150</v>
      </c>
      <c r="Y20" s="49">
        <v>150</v>
      </c>
      <c r="Z20" s="49">
        <v>150</v>
      </c>
      <c r="AA20" s="49">
        <v>150</v>
      </c>
      <c r="AB20" s="49">
        <v>150</v>
      </c>
    </row>
    <row r="21" spans="2:28">
      <c r="B21" s="54" t="s">
        <v>40</v>
      </c>
      <c r="C21" s="53"/>
      <c r="D21" s="46" t="s">
        <v>277</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47">
        <v>0</v>
      </c>
      <c r="W21" s="47">
        <v>0</v>
      </c>
      <c r="X21" s="47">
        <v>0</v>
      </c>
      <c r="Y21" s="47">
        <v>0</v>
      </c>
      <c r="Z21" s="47">
        <v>0</v>
      </c>
      <c r="AA21" s="47">
        <v>0</v>
      </c>
      <c r="AB21" s="47">
        <v>0</v>
      </c>
    </row>
    <row r="22" spans="2:28">
      <c r="B22" s="24" t="s">
        <v>45</v>
      </c>
      <c r="C22" s="48" t="s">
        <v>279</v>
      </c>
      <c r="D22" s="27" t="s">
        <v>277</v>
      </c>
      <c r="E22" s="32">
        <v>294</v>
      </c>
      <c r="F22" s="32">
        <v>294</v>
      </c>
      <c r="G22" s="32">
        <v>294</v>
      </c>
      <c r="H22" s="32">
        <v>232</v>
      </c>
      <c r="I22" s="32">
        <v>232</v>
      </c>
      <c r="J22" s="32">
        <v>232</v>
      </c>
      <c r="K22" s="32">
        <v>232</v>
      </c>
      <c r="L22" s="32">
        <v>232</v>
      </c>
      <c r="M22" s="32">
        <v>145</v>
      </c>
      <c r="N22" s="32">
        <v>145</v>
      </c>
      <c r="O22" s="32">
        <v>145</v>
      </c>
      <c r="P22" s="32">
        <v>145</v>
      </c>
      <c r="Q22" s="32">
        <v>145</v>
      </c>
      <c r="R22" s="32">
        <v>61</v>
      </c>
      <c r="S22" s="32">
        <v>61</v>
      </c>
      <c r="T22" s="32">
        <v>61</v>
      </c>
      <c r="U22" s="32">
        <v>61</v>
      </c>
      <c r="V22" s="32">
        <v>61</v>
      </c>
      <c r="W22" s="32">
        <v>0</v>
      </c>
      <c r="X22" s="32">
        <v>0</v>
      </c>
      <c r="Y22" s="32">
        <v>0</v>
      </c>
      <c r="Z22" s="32">
        <v>0</v>
      </c>
      <c r="AA22" s="32">
        <v>0</v>
      </c>
      <c r="AB22" s="32">
        <v>0</v>
      </c>
    </row>
    <row r="23" spans="2:28">
      <c r="B23" s="54" t="s">
        <v>44</v>
      </c>
      <c r="C23" s="53" t="s">
        <v>279</v>
      </c>
      <c r="D23" s="46" t="s">
        <v>277</v>
      </c>
      <c r="E23" s="47">
        <v>352</v>
      </c>
      <c r="F23" s="47">
        <v>352</v>
      </c>
      <c r="G23" s="47">
        <v>352</v>
      </c>
      <c r="H23" s="47">
        <v>270</v>
      </c>
      <c r="I23" s="47">
        <v>270</v>
      </c>
      <c r="J23" s="47">
        <v>270</v>
      </c>
      <c r="K23" s="47">
        <v>270</v>
      </c>
      <c r="L23" s="47">
        <v>270</v>
      </c>
      <c r="M23" s="47">
        <v>177</v>
      </c>
      <c r="N23" s="47">
        <v>177</v>
      </c>
      <c r="O23" s="47">
        <v>177</v>
      </c>
      <c r="P23" s="47">
        <v>177</v>
      </c>
      <c r="Q23" s="47">
        <v>177</v>
      </c>
      <c r="R23" s="47">
        <v>107</v>
      </c>
      <c r="S23" s="47">
        <v>107</v>
      </c>
      <c r="T23" s="47">
        <v>107</v>
      </c>
      <c r="U23" s="47">
        <v>107</v>
      </c>
      <c r="V23" s="47">
        <v>107</v>
      </c>
      <c r="W23" s="47">
        <v>0</v>
      </c>
      <c r="X23" s="47">
        <v>0</v>
      </c>
      <c r="Y23" s="47">
        <v>0</v>
      </c>
      <c r="Z23" s="47">
        <v>0</v>
      </c>
      <c r="AA23" s="47">
        <v>0</v>
      </c>
      <c r="AB23" s="47">
        <v>0</v>
      </c>
    </row>
    <row r="24" spans="2:28">
      <c r="B24" s="43" t="s">
        <v>47</v>
      </c>
      <c r="C24" s="56"/>
      <c r="D24" s="57" t="s">
        <v>277</v>
      </c>
      <c r="E24" s="58">
        <v>0</v>
      </c>
      <c r="F24" s="58">
        <v>0</v>
      </c>
      <c r="G24" s="58">
        <v>0</v>
      </c>
      <c r="H24" s="58">
        <v>0</v>
      </c>
      <c r="I24" s="58">
        <v>0</v>
      </c>
      <c r="J24" s="58">
        <v>0</v>
      </c>
      <c r="K24" s="58">
        <v>0</v>
      </c>
      <c r="L24" s="58">
        <v>0</v>
      </c>
      <c r="M24" s="58">
        <v>0</v>
      </c>
      <c r="N24" s="58">
        <v>0</v>
      </c>
      <c r="O24" s="58">
        <v>0</v>
      </c>
      <c r="P24" s="58">
        <v>0</v>
      </c>
      <c r="Q24" s="58">
        <v>0</v>
      </c>
      <c r="R24" s="58">
        <v>0</v>
      </c>
      <c r="S24" s="58">
        <v>0</v>
      </c>
      <c r="T24" s="58">
        <v>0</v>
      </c>
      <c r="U24" s="58">
        <v>0</v>
      </c>
      <c r="V24" s="58">
        <v>0</v>
      </c>
      <c r="W24" s="58">
        <v>0</v>
      </c>
      <c r="X24" s="58">
        <v>0</v>
      </c>
      <c r="Y24" s="58">
        <v>0</v>
      </c>
      <c r="Z24" s="58">
        <v>0</v>
      </c>
      <c r="AA24" s="58">
        <v>0</v>
      </c>
      <c r="AB24" s="58">
        <v>0</v>
      </c>
    </row>
    <row r="25" spans="2:28">
      <c r="B25" s="24"/>
      <c r="C25" s="27"/>
      <c r="D25" s="25"/>
      <c r="E25" s="25"/>
      <c r="F25" s="25"/>
      <c r="G25" s="25"/>
      <c r="H25" s="25"/>
      <c r="I25" s="25"/>
      <c r="J25" s="25"/>
      <c r="K25" s="24"/>
      <c r="L25" s="24"/>
    </row>
    <row r="26" spans="2:28">
      <c r="B26" s="24"/>
      <c r="C26" s="27"/>
      <c r="D26" s="25"/>
      <c r="E26" s="25"/>
      <c r="F26" s="25"/>
      <c r="G26" s="25"/>
      <c r="H26" s="25"/>
      <c r="I26" s="25"/>
      <c r="J26" s="25"/>
      <c r="K26" s="24"/>
      <c r="L26" s="24"/>
    </row>
    <row r="27" spans="2:28">
      <c r="B27" s="30" t="s">
        <v>280</v>
      </c>
      <c r="C27" s="27"/>
      <c r="D27" s="25"/>
      <c r="E27" s="25"/>
      <c r="F27" s="25"/>
      <c r="G27" s="25"/>
      <c r="H27" s="25"/>
      <c r="I27" s="25"/>
      <c r="J27" s="25"/>
      <c r="K27" s="24"/>
      <c r="L27" s="24"/>
    </row>
    <row r="28" spans="2:28">
      <c r="B28" s="50" t="s">
        <v>281</v>
      </c>
      <c r="C28" s="51" t="s">
        <v>264</v>
      </c>
      <c r="D28" s="51" t="s">
        <v>272</v>
      </c>
      <c r="E28" s="52">
        <v>2027</v>
      </c>
      <c r="F28" s="52">
        <v>2028</v>
      </c>
      <c r="G28" s="52">
        <v>2029</v>
      </c>
      <c r="H28" s="52">
        <v>2030</v>
      </c>
      <c r="I28" s="52">
        <v>2031</v>
      </c>
      <c r="J28" s="52">
        <v>2032</v>
      </c>
      <c r="K28" s="52">
        <v>2033</v>
      </c>
      <c r="L28" s="52">
        <v>2034</v>
      </c>
      <c r="M28" s="52">
        <v>2035</v>
      </c>
      <c r="N28" s="52">
        <v>2036</v>
      </c>
      <c r="O28" s="52">
        <v>2037</v>
      </c>
      <c r="P28" s="52">
        <v>2038</v>
      </c>
      <c r="Q28" s="52">
        <v>2039</v>
      </c>
      <c r="R28" s="52">
        <v>2040</v>
      </c>
      <c r="S28" s="52">
        <v>2041</v>
      </c>
      <c r="T28" s="52">
        <v>2042</v>
      </c>
      <c r="U28" s="52">
        <v>2043</v>
      </c>
      <c r="V28" s="52">
        <v>2044</v>
      </c>
      <c r="W28" s="52">
        <v>2045</v>
      </c>
      <c r="X28" s="52">
        <v>2046</v>
      </c>
      <c r="Y28" s="52">
        <v>2047</v>
      </c>
      <c r="Z28" s="52">
        <v>2048</v>
      </c>
      <c r="AA28" s="52">
        <v>2049</v>
      </c>
      <c r="AB28" s="52">
        <v>2050</v>
      </c>
    </row>
    <row r="29" spans="2:28">
      <c r="B29" s="24" t="s">
        <v>48</v>
      </c>
      <c r="C29" s="48" t="s">
        <v>282</v>
      </c>
      <c r="D29" s="27" t="s">
        <v>146</v>
      </c>
      <c r="E29" s="32">
        <v>14.6337378640777</v>
      </c>
      <c r="F29" s="32">
        <v>14.241262135922296</v>
      </c>
      <c r="G29" s="32">
        <v>13.848786407766889</v>
      </c>
      <c r="H29" s="32">
        <v>13.456310679611649</v>
      </c>
      <c r="I29" s="32">
        <v>13.456310679611649</v>
      </c>
      <c r="J29" s="32">
        <v>13.456310679611649</v>
      </c>
      <c r="K29" s="32">
        <v>13.456310679611649</v>
      </c>
      <c r="L29" s="32">
        <v>13.456310679611649</v>
      </c>
      <c r="M29" s="32">
        <v>13.456310679611649</v>
      </c>
      <c r="N29" s="32">
        <v>13.456310679611649</v>
      </c>
      <c r="O29" s="32">
        <v>13.456310679611649</v>
      </c>
      <c r="P29" s="32">
        <v>13.456310679611649</v>
      </c>
      <c r="Q29" s="32">
        <v>13.456310679611649</v>
      </c>
      <c r="R29" s="32">
        <v>13.456310679611649</v>
      </c>
      <c r="S29" s="32">
        <v>13.456310679611649</v>
      </c>
      <c r="T29" s="32">
        <v>13.456310679611649</v>
      </c>
      <c r="U29" s="32">
        <v>13.456310679611649</v>
      </c>
      <c r="V29" s="32">
        <v>13.456310679611649</v>
      </c>
      <c r="W29" s="32">
        <v>13.456310679611649</v>
      </c>
      <c r="X29" s="32">
        <v>13.456310679611649</v>
      </c>
      <c r="Y29" s="32">
        <v>13.456310679611649</v>
      </c>
      <c r="Z29" s="32">
        <v>13.456310679611649</v>
      </c>
      <c r="AA29" s="32">
        <v>13.456310679611649</v>
      </c>
      <c r="AB29" s="32">
        <v>13.456310679611649</v>
      </c>
    </row>
    <row r="30" spans="2:28">
      <c r="B30" s="54" t="s">
        <v>51</v>
      </c>
      <c r="C30" s="53" t="s">
        <v>282</v>
      </c>
      <c r="D30" s="46" t="s">
        <v>146</v>
      </c>
      <c r="E30" s="47">
        <v>14.565286282585156</v>
      </c>
      <c r="F30" s="47">
        <v>13.513486979796285</v>
      </c>
      <c r="G30" s="47">
        <v>12.461687677007411</v>
      </c>
      <c r="H30" s="47">
        <v>11.409888374218541</v>
      </c>
      <c r="I30" s="47">
        <v>11.404711335629472</v>
      </c>
      <c r="J30" s="47">
        <v>11.399534297040399</v>
      </c>
      <c r="K30" s="47">
        <v>11.394357258451331</v>
      </c>
      <c r="L30" s="47">
        <v>11.389180219862256</v>
      </c>
      <c r="M30" s="47">
        <v>11.384003181273181</v>
      </c>
      <c r="N30" s="47">
        <v>11.359334171568827</v>
      </c>
      <c r="O30" s="47">
        <v>11.334665161864466</v>
      </c>
      <c r="P30" s="47">
        <v>11.309996152160105</v>
      </c>
      <c r="Q30" s="47">
        <v>11.285327142455742</v>
      </c>
      <c r="R30" s="47">
        <v>11.26065813275139</v>
      </c>
      <c r="S30" s="47">
        <v>11.236676488740128</v>
      </c>
      <c r="T30" s="47">
        <v>11.212694844728878</v>
      </c>
      <c r="U30" s="47">
        <v>11.18871320071762</v>
      </c>
      <c r="V30" s="47">
        <v>11.164731556706363</v>
      </c>
      <c r="W30" s="47">
        <v>11.140749912695105</v>
      </c>
      <c r="X30" s="47">
        <v>11.119938841184348</v>
      </c>
      <c r="Y30" s="47">
        <v>11.099127769673593</v>
      </c>
      <c r="Z30" s="47">
        <v>11.078316698162839</v>
      </c>
      <c r="AA30" s="47">
        <v>11.057505626652086</v>
      </c>
      <c r="AB30" s="47">
        <v>11.036694555141331</v>
      </c>
    </row>
    <row r="31" spans="2:28">
      <c r="B31" s="40" t="s">
        <v>55</v>
      </c>
      <c r="C31" s="48" t="s">
        <v>80</v>
      </c>
      <c r="D31" s="55" t="s">
        <v>146</v>
      </c>
      <c r="E31" s="49">
        <f>AVERAGE(E32:E33)</f>
        <v>32.599999999999994</v>
      </c>
      <c r="F31" s="49">
        <f>AVERAGE(F32:F33)</f>
        <v>33.900000000000006</v>
      </c>
      <c r="G31" s="49">
        <f t="shared" ref="G31:AB31" si="0">AVERAGE(G32:G33)</f>
        <v>35.199999999999996</v>
      </c>
      <c r="H31" s="49">
        <f t="shared" si="0"/>
        <v>36.5</v>
      </c>
      <c r="I31" s="49">
        <f t="shared" si="0"/>
        <v>37.9</v>
      </c>
      <c r="J31" s="49">
        <f t="shared" si="0"/>
        <v>39.299999999999997</v>
      </c>
      <c r="K31" s="49">
        <f t="shared" si="0"/>
        <v>40.700000000000003</v>
      </c>
      <c r="L31" s="49">
        <f t="shared" si="0"/>
        <v>42.1</v>
      </c>
      <c r="M31" s="49">
        <f t="shared" si="0"/>
        <v>43.5</v>
      </c>
      <c r="N31" s="49">
        <f t="shared" si="0"/>
        <v>44.9</v>
      </c>
      <c r="O31" s="49">
        <f t="shared" si="0"/>
        <v>46.3</v>
      </c>
      <c r="P31" s="49">
        <f t="shared" si="0"/>
        <v>47.7</v>
      </c>
      <c r="Q31" s="49">
        <f t="shared" si="0"/>
        <v>49.1</v>
      </c>
      <c r="R31" s="49">
        <f t="shared" si="0"/>
        <v>50.5</v>
      </c>
      <c r="S31" s="49">
        <f t="shared" si="0"/>
        <v>51.800000000000004</v>
      </c>
      <c r="T31" s="49">
        <f t="shared" si="0"/>
        <v>53.099999999999994</v>
      </c>
      <c r="U31" s="49">
        <f t="shared" si="0"/>
        <v>54.400000000000006</v>
      </c>
      <c r="V31" s="49">
        <f t="shared" si="0"/>
        <v>55.699999999999996</v>
      </c>
      <c r="W31" s="49">
        <f t="shared" si="0"/>
        <v>57</v>
      </c>
      <c r="X31" s="49">
        <f t="shared" si="0"/>
        <v>58.300000000000004</v>
      </c>
      <c r="Y31" s="49">
        <f t="shared" si="0"/>
        <v>59.599999999999994</v>
      </c>
      <c r="Z31" s="49">
        <f t="shared" si="0"/>
        <v>60.900000000000006</v>
      </c>
      <c r="AA31" s="49">
        <f t="shared" si="0"/>
        <v>62.199999999999996</v>
      </c>
      <c r="AB31" s="49">
        <f t="shared" si="0"/>
        <v>63.5</v>
      </c>
    </row>
    <row r="32" spans="2:28">
      <c r="B32" s="54" t="s">
        <v>57</v>
      </c>
      <c r="C32" s="53" t="s">
        <v>80</v>
      </c>
      <c r="D32" s="46" t="s">
        <v>146</v>
      </c>
      <c r="E32" s="47">
        <v>23.4</v>
      </c>
      <c r="F32" s="47">
        <v>23.6</v>
      </c>
      <c r="G32" s="47">
        <v>23.8</v>
      </c>
      <c r="H32" s="47">
        <v>24</v>
      </c>
      <c r="I32" s="47">
        <v>24.3</v>
      </c>
      <c r="J32" s="47">
        <v>24.6</v>
      </c>
      <c r="K32" s="47">
        <v>24.9</v>
      </c>
      <c r="L32" s="47">
        <v>25.2</v>
      </c>
      <c r="M32" s="47">
        <v>25.5</v>
      </c>
      <c r="N32" s="47">
        <v>25.8</v>
      </c>
      <c r="O32" s="47">
        <v>26.1</v>
      </c>
      <c r="P32" s="47">
        <v>26.4</v>
      </c>
      <c r="Q32" s="47">
        <v>26.7</v>
      </c>
      <c r="R32" s="47">
        <v>27</v>
      </c>
      <c r="S32" s="47">
        <v>27.2</v>
      </c>
      <c r="T32" s="47">
        <v>27.4</v>
      </c>
      <c r="U32" s="47">
        <v>27.6</v>
      </c>
      <c r="V32" s="47">
        <v>27.8</v>
      </c>
      <c r="W32" s="47">
        <v>28</v>
      </c>
      <c r="X32" s="47">
        <v>28.2</v>
      </c>
      <c r="Y32" s="47">
        <v>28.4</v>
      </c>
      <c r="Z32" s="47">
        <v>28.6</v>
      </c>
      <c r="AA32" s="47">
        <v>28.8</v>
      </c>
      <c r="AB32" s="47">
        <v>29</v>
      </c>
    </row>
    <row r="33" spans="2:28">
      <c r="B33" s="24" t="s">
        <v>60</v>
      </c>
      <c r="C33" s="48" t="s">
        <v>80</v>
      </c>
      <c r="D33" s="27" t="s">
        <v>146</v>
      </c>
      <c r="E33" s="32">
        <v>41.8</v>
      </c>
      <c r="F33" s="32">
        <v>44.2</v>
      </c>
      <c r="G33" s="32">
        <v>46.599999999999994</v>
      </c>
      <c r="H33" s="32">
        <v>49</v>
      </c>
      <c r="I33" s="32">
        <v>51.5</v>
      </c>
      <c r="J33" s="32">
        <v>54</v>
      </c>
      <c r="K33" s="32">
        <v>56.5</v>
      </c>
      <c r="L33" s="32">
        <v>59</v>
      </c>
      <c r="M33" s="32">
        <v>61.5</v>
      </c>
      <c r="N33" s="32">
        <v>64</v>
      </c>
      <c r="O33" s="32">
        <v>66.5</v>
      </c>
      <c r="P33" s="32">
        <v>69</v>
      </c>
      <c r="Q33" s="32">
        <v>71.5</v>
      </c>
      <c r="R33" s="32">
        <v>74</v>
      </c>
      <c r="S33" s="32">
        <v>76.400000000000006</v>
      </c>
      <c r="T33" s="32">
        <v>78.8</v>
      </c>
      <c r="U33" s="32">
        <v>81.2</v>
      </c>
      <c r="V33" s="32">
        <v>83.6</v>
      </c>
      <c r="W33" s="32">
        <v>86</v>
      </c>
      <c r="X33" s="32">
        <v>88.4</v>
      </c>
      <c r="Y33" s="32">
        <v>90.8</v>
      </c>
      <c r="Z33" s="32">
        <v>93.2</v>
      </c>
      <c r="AA33" s="32">
        <v>95.6</v>
      </c>
      <c r="AB33" s="32">
        <v>98</v>
      </c>
    </row>
    <row r="34" spans="2:28">
      <c r="B34" s="54" t="s">
        <v>62</v>
      </c>
      <c r="C34" s="53" t="s">
        <v>283</v>
      </c>
      <c r="D34" s="46" t="s">
        <v>146</v>
      </c>
      <c r="E34" s="47">
        <v>37.116841929982201</v>
      </c>
      <c r="F34" s="47">
        <v>37.733100403066011</v>
      </c>
      <c r="G34" s="47">
        <v>38.342146911849333</v>
      </c>
      <c r="H34" s="47">
        <v>38.940653333333337</v>
      </c>
      <c r="I34" s="47">
        <v>39.678942813058462</v>
      </c>
      <c r="J34" s="47">
        <v>40.406937977316012</v>
      </c>
      <c r="K34" s="47">
        <v>41.12659098936421</v>
      </c>
      <c r="L34" s="47">
        <v>41.833969319082563</v>
      </c>
      <c r="M34" s="47">
        <v>42.531053333333332</v>
      </c>
      <c r="N34" s="47">
        <v>43.412034814050593</v>
      </c>
      <c r="O34" s="47">
        <v>44.282938006995622</v>
      </c>
      <c r="P34" s="47">
        <v>45.139003878327202</v>
      </c>
      <c r="Q34" s="47">
        <v>45.982628987106438</v>
      </c>
      <c r="R34" s="47">
        <v>46.813813333333343</v>
      </c>
      <c r="S34" s="47">
        <v>47.848447938395338</v>
      </c>
      <c r="T34" s="47">
        <v>48.865752394541651</v>
      </c>
      <c r="U34" s="47">
        <v>49.868573412604043</v>
      </c>
      <c r="V34" s="47">
        <v>50.856910992582527</v>
      </c>
      <c r="W34" s="47">
        <v>51.83341333333334</v>
      </c>
      <c r="X34" s="47">
        <v>53.064461879284543</v>
      </c>
      <c r="Y34" s="47">
        <v>54.27838999249412</v>
      </c>
      <c r="Z34" s="47">
        <v>55.475197672962103</v>
      </c>
      <c r="AA34" s="47">
        <v>56.658093423643798</v>
      </c>
      <c r="AB34" s="47">
        <v>57.820613333333341</v>
      </c>
    </row>
    <row r="35" spans="2:28">
      <c r="B35" s="40" t="s">
        <v>69</v>
      </c>
      <c r="C35" s="48" t="s">
        <v>282</v>
      </c>
      <c r="D35" s="55" t="s">
        <v>146</v>
      </c>
      <c r="E35" s="49">
        <f>AVERAGE(E36:E37)</f>
        <v>52.051081405959309</v>
      </c>
      <c r="F35" s="49">
        <f t="shared" ref="F35:AB35" si="1">AVERAGE(F36:F37)</f>
        <v>49.155895453136402</v>
      </c>
      <c r="G35" s="49">
        <f t="shared" si="1"/>
        <v>46.21322714258794</v>
      </c>
      <c r="H35" s="49">
        <f t="shared" si="1"/>
        <v>43.223897239433271</v>
      </c>
      <c r="I35" s="49">
        <f t="shared" si="1"/>
        <v>42.444564729750361</v>
      </c>
      <c r="J35" s="49">
        <f t="shared" si="1"/>
        <v>41.592068900672885</v>
      </c>
      <c r="K35" s="49">
        <f t="shared" si="1"/>
        <v>40.666858608946939</v>
      </c>
      <c r="L35" s="49">
        <f t="shared" si="1"/>
        <v>39.66938271131859</v>
      </c>
      <c r="M35" s="49">
        <f t="shared" si="1"/>
        <v>38.600090064535287</v>
      </c>
      <c r="N35" s="49">
        <f t="shared" si="1"/>
        <v>37.733066164815156</v>
      </c>
      <c r="O35" s="49">
        <f t="shared" si="1"/>
        <v>36.816388607703651</v>
      </c>
      <c r="P35" s="49">
        <f t="shared" si="1"/>
        <v>35.85022952820573</v>
      </c>
      <c r="Q35" s="49">
        <f t="shared" si="1"/>
        <v>34.83476106132396</v>
      </c>
      <c r="R35" s="49">
        <f t="shared" si="1"/>
        <v>33.770155342062679</v>
      </c>
      <c r="S35" s="49">
        <f t="shared" si="1"/>
        <v>32.653034249495434</v>
      </c>
      <c r="T35" s="49">
        <f t="shared" si="1"/>
        <v>31.512437862628751</v>
      </c>
      <c r="U35" s="49">
        <f t="shared" si="1"/>
        <v>30.348272331188262</v>
      </c>
      <c r="V35" s="49">
        <f t="shared" si="1"/>
        <v>29.16044380489835</v>
      </c>
      <c r="W35" s="49">
        <f t="shared" si="1"/>
        <v>27.948858433484247</v>
      </c>
      <c r="X35" s="49">
        <f t="shared" si="1"/>
        <v>26.926182930715683</v>
      </c>
      <c r="Y35" s="49">
        <f t="shared" si="1"/>
        <v>25.892028440725745</v>
      </c>
      <c r="Z35" s="49">
        <f t="shared" si="1"/>
        <v>24.846329586709331</v>
      </c>
      <c r="AA35" s="49">
        <f t="shared" si="1"/>
        <v>23.789020991861381</v>
      </c>
      <c r="AB35" s="49">
        <f t="shared" si="1"/>
        <v>22.720037279376836</v>
      </c>
    </row>
    <row r="36" spans="2:28">
      <c r="B36" s="54" t="s">
        <v>72</v>
      </c>
      <c r="C36" s="53" t="s">
        <v>282</v>
      </c>
      <c r="D36" s="46" t="s">
        <v>146</v>
      </c>
      <c r="E36" s="47">
        <v>43.528305240515309</v>
      </c>
      <c r="F36" s="47">
        <v>40.478340353858009</v>
      </c>
      <c r="G36" s="47">
        <v>37.380949103708431</v>
      </c>
      <c r="H36" s="47">
        <v>34.236956106325934</v>
      </c>
      <c r="I36" s="47">
        <v>33.687581910973869</v>
      </c>
      <c r="J36" s="47">
        <v>33.064701104118477</v>
      </c>
      <c r="K36" s="47">
        <v>32.368764648601925</v>
      </c>
      <c r="L36" s="47">
        <v>31.600223507266357</v>
      </c>
      <c r="M36" s="47">
        <v>30.759528642955274</v>
      </c>
      <c r="N36" s="47">
        <v>30.102768015678215</v>
      </c>
      <c r="O36" s="47">
        <v>29.396120749388739</v>
      </c>
      <c r="P36" s="47">
        <v>28.639759786772338</v>
      </c>
      <c r="Q36" s="47">
        <v>27.833858070512129</v>
      </c>
      <c r="R36" s="47">
        <v>26.978588543292936</v>
      </c>
      <c r="S36" s="47">
        <v>26.118165221247637</v>
      </c>
      <c r="T36" s="47">
        <v>25.23415645567307</v>
      </c>
      <c r="U36" s="47">
        <v>24.326467955936781</v>
      </c>
      <c r="V36" s="47">
        <v>23.395005431405064</v>
      </c>
      <c r="W36" s="47">
        <v>22.439674591445101</v>
      </c>
      <c r="X36" s="47">
        <v>21.663670792916818</v>
      </c>
      <c r="Y36" s="47">
        <v>20.876134146219336</v>
      </c>
      <c r="Z36" s="47">
        <v>20.076998967790789</v>
      </c>
      <c r="AA36" s="47">
        <v>19.266199574069397</v>
      </c>
      <c r="AB36" s="47">
        <v>18.443670281493354</v>
      </c>
    </row>
    <row r="37" spans="2:28">
      <c r="B37" s="59" t="s">
        <v>74</v>
      </c>
      <c r="C37" s="56" t="s">
        <v>282</v>
      </c>
      <c r="D37" s="42" t="s">
        <v>146</v>
      </c>
      <c r="E37" s="34">
        <v>60.573857571403302</v>
      </c>
      <c r="F37" s="34">
        <v>57.833450552414796</v>
      </c>
      <c r="G37" s="34">
        <v>55.045505181467448</v>
      </c>
      <c r="H37" s="34">
        <v>52.210838372540607</v>
      </c>
      <c r="I37" s="34">
        <v>51.201547548526854</v>
      </c>
      <c r="J37" s="34">
        <v>50.1194366972273</v>
      </c>
      <c r="K37" s="34">
        <v>48.964952569291945</v>
      </c>
      <c r="L37" s="34">
        <v>47.738541915370831</v>
      </c>
      <c r="M37" s="34">
        <v>46.4406514861153</v>
      </c>
      <c r="N37" s="34">
        <v>45.363364313952104</v>
      </c>
      <c r="O37" s="34">
        <v>44.236656466018566</v>
      </c>
      <c r="P37" s="34">
        <v>43.060699269639116</v>
      </c>
      <c r="Q37" s="34">
        <v>41.835664052135797</v>
      </c>
      <c r="R37" s="34">
        <v>40.56172214083243</v>
      </c>
      <c r="S37" s="34">
        <v>39.187903277743224</v>
      </c>
      <c r="T37" s="34">
        <v>37.790719269584436</v>
      </c>
      <c r="U37" s="34">
        <v>36.370076706439747</v>
      </c>
      <c r="V37" s="34">
        <v>34.925882178391632</v>
      </c>
      <c r="W37" s="34">
        <v>33.458042275523397</v>
      </c>
      <c r="X37" s="34">
        <v>32.188695068514548</v>
      </c>
      <c r="Y37" s="34">
        <v>30.907922735232159</v>
      </c>
      <c r="Z37" s="34">
        <v>29.615660205627876</v>
      </c>
      <c r="AA37" s="34">
        <v>28.311842409653366</v>
      </c>
      <c r="AB37" s="34">
        <v>26.996404277260318</v>
      </c>
    </row>
  </sheetData>
  <phoneticPr fontId="31" type="noConversion"/>
  <hyperlinks>
    <hyperlink ref="D8" r:id="rId1" display="Source: FuelEU Annex II" xr:uid="{0907B9FA-B24F-472B-BFB5-F084D5F4C3FB}"/>
    <hyperlink ref="C22" r:id="rId2" xr:uid="{0AABC619-35DD-4660-8E39-582E3EC34E7E}"/>
    <hyperlink ref="C36" r:id="rId3" xr:uid="{811B8631-4B31-42B5-916B-696D878690A0}"/>
    <hyperlink ref="C37" r:id="rId4" xr:uid="{A7A8557D-2C7B-4A9A-ADAE-8BAD70E59D37}"/>
    <hyperlink ref="C34" r:id="rId5" display="MMMCZCS, 2024" xr:uid="{370CEAC2-5E9A-4731-A6B1-608B6F62B6B1}"/>
    <hyperlink ref="C29" r:id="rId6" xr:uid="{D0CE9B8D-E40A-4900-A456-56E7953A93AA}"/>
    <hyperlink ref="C30" r:id="rId7" xr:uid="{8DC5897E-F63E-44A5-B3AB-0891A8ADC366}"/>
    <hyperlink ref="C31" r:id="rId8" display="Source: LR &amp; UMAS, 2020" xr:uid="{E1A507DB-11FA-41A9-84B1-DBED9FCC93AA}"/>
    <hyperlink ref="C32" r:id="rId9" display="Source: LR &amp; UMAS, 2020" xr:uid="{A1D97A3F-2F17-4770-A466-D41BD0A53E00}"/>
    <hyperlink ref="C33" r:id="rId10" display="Source: LR &amp; UMAS, 2020" xr:uid="{B708FD23-195B-4933-BC76-4D6EBE3FF4C9}"/>
    <hyperlink ref="C23" r:id="rId11" xr:uid="{E4F9846C-359B-42C1-9FED-91EBCA619B46}"/>
    <hyperlink ref="E8" r:id="rId12" display="MEPC 81/16/Add.1, Annex 10, Appendix 2 (pg 49)" xr:uid="{B6A70F44-E98D-4E68-94B8-F236BC4A862C}"/>
    <hyperlink ref="F8" r:id="rId13" display="MEPC 81/16/Add.1, Annex 10, Appendix 2 (pg 49)" xr:uid="{0F39AF2A-0FD8-4E2A-A23F-98B5B6C2A8BA}"/>
    <hyperlink ref="G8" r:id="rId14" display="Source: FuelEU Annex II" xr:uid="{F6A401EC-D84A-4156-8BB2-E532E5EEBD79}"/>
    <hyperlink ref="C35" r:id="rId15" xr:uid="{F629356D-6DB0-45D2-B450-31A09F580D6E}"/>
    <hyperlink ref="K8" r:id="rId16" display="Source: FuelEU Annex II" xr:uid="{87DD3874-2BEE-42B4-B87C-327D70A51D0A}"/>
    <hyperlink ref="J8" r:id="rId17" display="Source: FuelEU Annex II" xr:uid="{8F2CE8E4-6BDE-4314-8EF7-7A711AB7E720}"/>
    <hyperlink ref="I8" r:id="rId18" display="Source: FuelEU Annex II" xr:uid="{38A4A9B2-37DE-427E-A34D-7E9C4CBB00E9}"/>
    <hyperlink ref="H8" r:id="rId19" display="Source: FuelEU Annex II" xr:uid="{8A8415F7-0007-4659-A400-E94B2A6018D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83d45350-d6f3-43eb-bc3b-872e487a66ef">
      <Terms xmlns="http://schemas.microsoft.com/office/infopath/2007/PartnerControls"/>
    </lcf76f155ced4ddcb4097134ff3c332f>
    <TaxCatchAll xmlns="bae2e4cf-1cea-45c6-bccc-ce4c78deb207"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4165BA3798B174FB9075562706586E7" ma:contentTypeVersion="16" ma:contentTypeDescription="Opret et nyt dokument." ma:contentTypeScope="" ma:versionID="57b92e68dd3068f6fb60a9ec9bf19b51">
  <xsd:schema xmlns:xsd="http://www.w3.org/2001/XMLSchema" xmlns:xs="http://www.w3.org/2001/XMLSchema" xmlns:p="http://schemas.microsoft.com/office/2006/metadata/properties" xmlns:ns1="http://schemas.microsoft.com/sharepoint/v3" xmlns:ns2="83d45350-d6f3-43eb-bc3b-872e487a66ef" xmlns:ns3="bae2e4cf-1cea-45c6-bccc-ce4c78deb207" targetNamespace="http://schemas.microsoft.com/office/2006/metadata/properties" ma:root="true" ma:fieldsID="4b0149b5a104c9ec8fa61228766ab50c" ns1:_="" ns2:_="" ns3:_="">
    <xsd:import namespace="http://schemas.microsoft.com/sharepoint/v3"/>
    <xsd:import namespace="83d45350-d6f3-43eb-bc3b-872e487a66ef"/>
    <xsd:import namespace="bae2e4cf-1cea-45c6-bccc-ce4c78deb20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Egenskaber for Unified Compliance Policy" ma:hidden="true" ma:internalName="_ip_UnifiedCompliancePolicyProperties">
      <xsd:simpleType>
        <xsd:restriction base="dms:Note"/>
      </xsd:simpleType>
    </xsd:element>
    <xsd:element name="_ip_UnifiedCompliancePolicyUIAction" ma:index="23"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d45350-d6f3-43eb-bc3b-872e487a66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Billedmærker" ma:readOnly="false" ma:fieldId="{5cf76f15-5ced-4ddc-b409-7134ff3c332f}" ma:taxonomyMulti="true" ma:sspId="5405d3cf-f1b6-4142-bd55-078f49f7cf5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e2e4cf-1cea-45c6-bccc-ce4c78deb207"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0" nillable="true" ma:displayName="Taxonomy Catch All Column" ma:hidden="true" ma:list="{1b9f3c38-9c8f-458d-8521-77c7534e311f}" ma:internalName="TaxCatchAll" ma:showField="CatchAllData" ma:web="bae2e4cf-1cea-45c6-bccc-ce4c78deb2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6B0CB6-2E58-463B-9CA2-34E00A2E2DE5}"/>
</file>

<file path=customXml/itemProps2.xml><?xml version="1.0" encoding="utf-8"?>
<ds:datastoreItem xmlns:ds="http://schemas.openxmlformats.org/officeDocument/2006/customXml" ds:itemID="{5EA6FEFE-BFD5-4336-9177-184401AE5D71}"/>
</file>

<file path=customXml/itemProps3.xml><?xml version="1.0" encoding="utf-8"?>
<ds:datastoreItem xmlns:ds="http://schemas.openxmlformats.org/officeDocument/2006/customXml" ds:itemID="{3E9AE294-90E7-45D1-A46A-3FAED366FE51}"/>
</file>

<file path=docMetadata/LabelInfo.xml><?xml version="1.0" encoding="utf-8"?>
<clbl:labelList xmlns:clbl="http://schemas.microsoft.com/office/2020/mipLabelMetadata">
  <clbl:label id="{e4b931d8-a288-4db6-acc7-364bc8042050}" enabled="1" method="Privileged" siteId="{5218c2a1-81cc-40ce-af99-7505143bc263}"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Bettles</dc:creator>
  <cp:keywords/>
  <dc:description/>
  <cp:lastModifiedBy>Jenny Ruffell Smith</cp:lastModifiedBy>
  <cp:revision/>
  <dcterms:created xsi:type="dcterms:W3CDTF">2015-06-05T18:19:34Z</dcterms:created>
  <dcterms:modified xsi:type="dcterms:W3CDTF">2025-02-17T09:07:38Z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0x01010014165BA3798B174FB9075562706586E7</vt:lpwstr>
  </property>
  <property fmtid="{D5CDD505-2E9C-101B-9397-08002B2CF9AE}" pid="3" name="MediaServiceImageTags">
    <vt:lpwstr/>
  </property>
</Properties>
</file>